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5225"/>
  </bookViews>
  <sheets>
    <sheet name="Front" sheetId="1" r:id="rId1"/>
    <sheet name="Sheet1" sheetId="2" r:id="rId2"/>
    <sheet name="Sheet2" sheetId="3" r:id="rId3"/>
  </sheets>
  <calcPr calcId="152511"/>
</workbook>
</file>

<file path=xl/calcChain.xml><?xml version="1.0" encoding="utf-8"?>
<calcChain xmlns="http://schemas.openxmlformats.org/spreadsheetml/2006/main">
  <c r="D88" i="1" l="1"/>
  <c r="D87" i="1"/>
  <c r="D89" i="1"/>
  <c r="F84" i="1"/>
  <c r="D121" i="1" l="1"/>
  <c r="D123" i="1"/>
  <c r="D27" i="1"/>
  <c r="D84" i="1" l="1"/>
  <c r="D57" i="1" l="1"/>
  <c r="P127" i="1"/>
  <c r="D58" i="1" l="1"/>
  <c r="D43" i="1"/>
  <c r="D44" i="1" s="1"/>
  <c r="D45" i="1" s="1"/>
  <c r="D35" i="1"/>
  <c r="D32" i="1"/>
  <c r="D78" i="1" l="1"/>
  <c r="D74" i="1" l="1"/>
  <c r="D59" i="1" l="1"/>
  <c r="S75" i="1" s="1"/>
  <c r="D64" i="1"/>
  <c r="D67" i="1" l="1"/>
  <c r="D75" i="1"/>
  <c r="D77" i="1"/>
  <c r="D76" i="1"/>
  <c r="D61" i="1" l="1"/>
  <c r="D62" i="1" s="1"/>
  <c r="D65" i="1"/>
  <c r="D68" i="1"/>
  <c r="D36" i="1" l="1"/>
  <c r="D48" i="1" s="1"/>
  <c r="D38" i="1" l="1"/>
  <c r="D83" i="1" l="1"/>
  <c r="F83" i="1" s="1"/>
  <c r="F80" i="1" s="1"/>
  <c r="D85" i="1"/>
  <c r="D90" i="1" s="1"/>
  <c r="F81" i="1" l="1"/>
  <c r="D46" i="1"/>
  <c r="B128" i="1" l="1"/>
  <c r="Q128" i="1" s="1"/>
  <c r="R128" i="1" s="1"/>
  <c r="B129" i="1"/>
  <c r="Q129" i="1" s="1"/>
  <c r="R129" i="1" s="1"/>
  <c r="B130" i="1"/>
  <c r="Q130" i="1" s="1"/>
  <c r="R130" i="1" s="1"/>
  <c r="B131" i="1"/>
  <c r="Q131" i="1" s="1"/>
  <c r="R131" i="1" s="1"/>
  <c r="B132" i="1"/>
  <c r="Q132" i="1" s="1"/>
  <c r="R132" i="1" s="1"/>
  <c r="B133" i="1"/>
  <c r="Q133" i="1" s="1"/>
  <c r="R133" i="1" s="1"/>
  <c r="B134" i="1"/>
  <c r="Q134" i="1" s="1"/>
  <c r="R134" i="1" s="1"/>
  <c r="B135" i="1"/>
  <c r="Q135" i="1" s="1"/>
  <c r="R135" i="1" s="1"/>
  <c r="B136" i="1"/>
  <c r="Q136" i="1" s="1"/>
  <c r="R136" i="1" s="1"/>
  <c r="B137" i="1"/>
  <c r="Q137" i="1" s="1"/>
  <c r="R137" i="1" s="1"/>
  <c r="B138" i="1"/>
  <c r="Q138" i="1" s="1"/>
  <c r="R138" i="1" s="1"/>
  <c r="B139" i="1"/>
  <c r="Q139" i="1" s="1"/>
  <c r="R139" i="1" s="1"/>
  <c r="B140" i="1"/>
  <c r="Q140" i="1" s="1"/>
  <c r="R140" i="1" s="1"/>
  <c r="B141" i="1"/>
  <c r="Q141" i="1" s="1"/>
  <c r="R141" i="1" s="1"/>
  <c r="B142" i="1"/>
  <c r="Q142" i="1" s="1"/>
  <c r="R142" i="1" s="1"/>
  <c r="B143" i="1"/>
  <c r="Q143" i="1" s="1"/>
  <c r="R143" i="1" s="1"/>
  <c r="B144" i="1"/>
  <c r="Q144" i="1" s="1"/>
  <c r="R144" i="1" s="1"/>
  <c r="B145" i="1"/>
  <c r="Q145" i="1" s="1"/>
  <c r="R145" i="1" s="1"/>
  <c r="B146" i="1"/>
  <c r="Q146" i="1" s="1"/>
  <c r="R146" i="1" s="1"/>
  <c r="B147" i="1"/>
  <c r="Q147" i="1" s="1"/>
  <c r="R147" i="1" s="1"/>
  <c r="B148" i="1"/>
  <c r="Q148" i="1" s="1"/>
  <c r="R148" i="1" s="1"/>
  <c r="B149" i="1"/>
  <c r="Q149" i="1" s="1"/>
  <c r="R149" i="1" s="1"/>
  <c r="B150" i="1"/>
  <c r="Q150" i="1" s="1"/>
  <c r="R150" i="1" s="1"/>
  <c r="B151" i="1"/>
  <c r="Q151" i="1" s="1"/>
  <c r="R151" i="1" s="1"/>
  <c r="B152" i="1"/>
  <c r="Q152" i="1" s="1"/>
  <c r="R152" i="1" s="1"/>
  <c r="B153" i="1"/>
  <c r="Q153" i="1" s="1"/>
  <c r="R153" i="1" s="1"/>
  <c r="B154" i="1"/>
  <c r="Q154" i="1" s="1"/>
  <c r="R154" i="1" s="1"/>
  <c r="B155" i="1"/>
  <c r="Q155" i="1" s="1"/>
  <c r="R155" i="1" s="1"/>
  <c r="B156" i="1"/>
  <c r="Q156" i="1" s="1"/>
  <c r="R156" i="1" s="1"/>
  <c r="B157" i="1"/>
  <c r="Q157" i="1" s="1"/>
  <c r="R157" i="1" s="1"/>
  <c r="B158" i="1"/>
  <c r="Q158" i="1" s="1"/>
  <c r="R158" i="1" s="1"/>
  <c r="B159" i="1"/>
  <c r="Q159" i="1" s="1"/>
  <c r="R159" i="1" s="1"/>
  <c r="B160" i="1"/>
  <c r="Q160" i="1" s="1"/>
  <c r="R160" i="1" s="1"/>
  <c r="B161" i="1"/>
  <c r="Q161" i="1" s="1"/>
  <c r="R161" i="1" s="1"/>
  <c r="B162" i="1"/>
  <c r="Q162" i="1" s="1"/>
  <c r="R162" i="1" s="1"/>
  <c r="B163" i="1"/>
  <c r="Q163" i="1" s="1"/>
  <c r="R163" i="1" s="1"/>
  <c r="B164" i="1"/>
  <c r="Q164" i="1" s="1"/>
  <c r="R164" i="1" s="1"/>
  <c r="B165" i="1"/>
  <c r="Q165" i="1" s="1"/>
  <c r="R165" i="1" s="1"/>
  <c r="B166" i="1"/>
  <c r="Q166" i="1" s="1"/>
  <c r="R166" i="1" s="1"/>
  <c r="B167" i="1"/>
  <c r="Q167" i="1" s="1"/>
  <c r="R167" i="1" s="1"/>
  <c r="B127" i="1"/>
  <c r="Q127" i="1" s="1"/>
  <c r="R127" i="1" s="1"/>
  <c r="C167" i="1" l="1"/>
  <c r="D167" i="1" s="1"/>
  <c r="E167" i="1" s="1"/>
  <c r="C151" i="1"/>
  <c r="D151" i="1" s="1"/>
  <c r="E151" i="1" s="1"/>
  <c r="C143" i="1"/>
  <c r="D143" i="1" s="1"/>
  <c r="E143" i="1" s="1"/>
  <c r="C135" i="1"/>
  <c r="D135" i="1" s="1"/>
  <c r="E135" i="1" s="1"/>
  <c r="C158" i="1"/>
  <c r="D158" i="1" s="1"/>
  <c r="E158" i="1" s="1"/>
  <c r="C134" i="1"/>
  <c r="D134" i="1" s="1"/>
  <c r="E134" i="1" s="1"/>
  <c r="C132" i="1"/>
  <c r="D132" i="1" s="1"/>
  <c r="E132" i="1" s="1"/>
  <c r="C166" i="1"/>
  <c r="D166" i="1" s="1"/>
  <c r="E166" i="1" s="1"/>
  <c r="C157" i="1"/>
  <c r="D157" i="1" s="1"/>
  <c r="E157" i="1" s="1"/>
  <c r="C140" i="1"/>
  <c r="D140" i="1" s="1"/>
  <c r="E140" i="1" s="1"/>
  <c r="C155" i="1"/>
  <c r="D155" i="1" s="1"/>
  <c r="E155" i="1" s="1"/>
  <c r="C147" i="1"/>
  <c r="D147" i="1" s="1"/>
  <c r="E147" i="1" s="1"/>
  <c r="C139" i="1"/>
  <c r="D139" i="1" s="1"/>
  <c r="E139" i="1" s="1"/>
  <c r="C131" i="1"/>
  <c r="D131" i="1" s="1"/>
  <c r="E131" i="1" s="1"/>
  <c r="C159" i="1"/>
  <c r="D159" i="1" s="1"/>
  <c r="E159" i="1" s="1"/>
  <c r="C165" i="1"/>
  <c r="D165" i="1" s="1"/>
  <c r="E165" i="1" s="1"/>
  <c r="C149" i="1"/>
  <c r="D149" i="1" s="1"/>
  <c r="E149" i="1" s="1"/>
  <c r="C164" i="1"/>
  <c r="D164" i="1" s="1"/>
  <c r="E164" i="1" s="1"/>
  <c r="C154" i="1"/>
  <c r="D154" i="1" s="1"/>
  <c r="E154" i="1" s="1"/>
  <c r="C146" i="1"/>
  <c r="D146" i="1" s="1"/>
  <c r="E146" i="1" s="1"/>
  <c r="C138" i="1"/>
  <c r="D138" i="1" s="1"/>
  <c r="E138" i="1" s="1"/>
  <c r="C130" i="1"/>
  <c r="D130" i="1" s="1"/>
  <c r="E130" i="1" s="1"/>
  <c r="C142" i="1"/>
  <c r="D142" i="1" s="1"/>
  <c r="E142" i="1" s="1"/>
  <c r="C141" i="1"/>
  <c r="D141" i="1" s="1"/>
  <c r="E141" i="1" s="1"/>
  <c r="C148" i="1"/>
  <c r="D148" i="1" s="1"/>
  <c r="E148" i="1" s="1"/>
  <c r="C161" i="1"/>
  <c r="D161" i="1" s="1"/>
  <c r="E161" i="1" s="1"/>
  <c r="C145" i="1"/>
  <c r="D145" i="1" s="1"/>
  <c r="E145" i="1" s="1"/>
  <c r="C137" i="1"/>
  <c r="D137" i="1" s="1"/>
  <c r="E137" i="1" s="1"/>
  <c r="C129" i="1"/>
  <c r="D129" i="1" s="1"/>
  <c r="E129" i="1" s="1"/>
  <c r="G129" i="1" s="1"/>
  <c r="C150" i="1"/>
  <c r="D150" i="1" s="1"/>
  <c r="E150" i="1" s="1"/>
  <c r="C133" i="1"/>
  <c r="D133" i="1" s="1"/>
  <c r="E133" i="1" s="1"/>
  <c r="C156" i="1"/>
  <c r="D156" i="1" s="1"/>
  <c r="E156" i="1" s="1"/>
  <c r="C163" i="1"/>
  <c r="D163" i="1" s="1"/>
  <c r="E163" i="1" s="1"/>
  <c r="C162" i="1"/>
  <c r="D162" i="1" s="1"/>
  <c r="E162" i="1" s="1"/>
  <c r="C153" i="1"/>
  <c r="D153" i="1" s="1"/>
  <c r="E153" i="1" s="1"/>
  <c r="C127" i="1"/>
  <c r="D127" i="1" s="1"/>
  <c r="C160" i="1"/>
  <c r="D160" i="1" s="1"/>
  <c r="E160" i="1" s="1"/>
  <c r="C152" i="1"/>
  <c r="D152" i="1" s="1"/>
  <c r="E152" i="1" s="1"/>
  <c r="C144" i="1"/>
  <c r="D144" i="1" s="1"/>
  <c r="E144" i="1" s="1"/>
  <c r="C136" i="1"/>
  <c r="D136" i="1" s="1"/>
  <c r="E136" i="1" s="1"/>
  <c r="C128" i="1"/>
  <c r="D128" i="1" s="1"/>
  <c r="E128" i="1" s="1"/>
  <c r="F128" i="1" s="1"/>
  <c r="H146" i="1"/>
  <c r="I146" i="1" s="1"/>
  <c r="H160" i="1"/>
  <c r="I160" i="1" s="1"/>
  <c r="H167" i="1"/>
  <c r="H151" i="1"/>
  <c r="H143" i="1"/>
  <c r="H149" i="1" l="1"/>
  <c r="I149" i="1" s="1"/>
  <c r="H148" i="1"/>
  <c r="I148" i="1" s="1"/>
  <c r="H135" i="1"/>
  <c r="H147" i="1"/>
  <c r="H166" i="1"/>
  <c r="I166" i="1" s="1"/>
  <c r="H165" i="1"/>
  <c r="I165" i="1" s="1"/>
  <c r="H132" i="1"/>
  <c r="I132" i="1" s="1"/>
  <c r="H141" i="1"/>
  <c r="I141" i="1" s="1"/>
  <c r="H131" i="1"/>
  <c r="K131" i="1" s="1"/>
  <c r="H137" i="1"/>
  <c r="I137" i="1" s="1"/>
  <c r="H157" i="1"/>
  <c r="I157" i="1" s="1"/>
  <c r="H130" i="1"/>
  <c r="I130" i="1" s="1"/>
  <c r="H164" i="1"/>
  <c r="I164" i="1" s="1"/>
  <c r="H128" i="1"/>
  <c r="I128" i="1" s="1"/>
  <c r="H144" i="1"/>
  <c r="I144" i="1" s="1"/>
  <c r="H134" i="1"/>
  <c r="I134" i="1" s="1"/>
  <c r="H153" i="1"/>
  <c r="I153" i="1" s="1"/>
  <c r="H162" i="1"/>
  <c r="I162" i="1" s="1"/>
  <c r="H163" i="1"/>
  <c r="J163" i="1" s="1"/>
  <c r="H161" i="1"/>
  <c r="I161" i="1" s="1"/>
  <c r="H155" i="1"/>
  <c r="J155" i="1" s="1"/>
  <c r="H140" i="1"/>
  <c r="I140" i="1" s="1"/>
  <c r="H127" i="1"/>
  <c r="I127" i="1" s="1"/>
  <c r="E127" i="1"/>
  <c r="H142" i="1"/>
  <c r="I142" i="1" s="1"/>
  <c r="H150" i="1"/>
  <c r="I150" i="1" s="1"/>
  <c r="H156" i="1"/>
  <c r="I156" i="1" s="1"/>
  <c r="H136" i="1"/>
  <c r="I136" i="1" s="1"/>
  <c r="H129" i="1"/>
  <c r="I129" i="1" s="1"/>
  <c r="H138" i="1"/>
  <c r="I138" i="1" s="1"/>
  <c r="H139" i="1"/>
  <c r="J139" i="1" s="1"/>
  <c r="H133" i="1"/>
  <c r="I133" i="1" s="1"/>
  <c r="H159" i="1"/>
  <c r="J159" i="1" s="1"/>
  <c r="H152" i="1"/>
  <c r="I152" i="1" s="1"/>
  <c r="H145" i="1"/>
  <c r="I145" i="1" s="1"/>
  <c r="H154" i="1"/>
  <c r="I154" i="1" s="1"/>
  <c r="H158" i="1"/>
  <c r="I158" i="1" s="1"/>
  <c r="J167" i="1"/>
  <c r="I167" i="1"/>
  <c r="J135" i="1"/>
  <c r="I135" i="1"/>
  <c r="J143" i="1"/>
  <c r="I143" i="1"/>
  <c r="J151" i="1"/>
  <c r="I151" i="1"/>
  <c r="J147" i="1"/>
  <c r="I147" i="1"/>
  <c r="J148" i="1"/>
  <c r="J146" i="1"/>
  <c r="J160" i="1"/>
  <c r="G130" i="1"/>
  <c r="F159" i="1"/>
  <c r="G159" i="1"/>
  <c r="K167" i="1"/>
  <c r="F167" i="1"/>
  <c r="G167" i="1"/>
  <c r="G140" i="1"/>
  <c r="F140" i="1"/>
  <c r="G156" i="1"/>
  <c r="F156" i="1"/>
  <c r="G144" i="1"/>
  <c r="F144" i="1"/>
  <c r="K135" i="1"/>
  <c r="F135" i="1"/>
  <c r="G135" i="1"/>
  <c r="F138" i="1"/>
  <c r="G138" i="1"/>
  <c r="F154" i="1"/>
  <c r="G154" i="1"/>
  <c r="F162" i="1"/>
  <c r="G162" i="1"/>
  <c r="G132" i="1"/>
  <c r="F132" i="1"/>
  <c r="G137" i="1"/>
  <c r="F137" i="1"/>
  <c r="G153" i="1"/>
  <c r="F153" i="1"/>
  <c r="F130" i="1"/>
  <c r="F155" i="1"/>
  <c r="G155" i="1"/>
  <c r="G163" i="1"/>
  <c r="F163" i="1"/>
  <c r="G136" i="1"/>
  <c r="F136" i="1"/>
  <c r="G152" i="1"/>
  <c r="F152" i="1"/>
  <c r="F139" i="1"/>
  <c r="G139" i="1"/>
  <c r="K151" i="1"/>
  <c r="F151" i="1"/>
  <c r="G151" i="1"/>
  <c r="K160" i="1"/>
  <c r="G160" i="1"/>
  <c r="F160" i="1"/>
  <c r="F146" i="1"/>
  <c r="K146" i="1"/>
  <c r="G146" i="1"/>
  <c r="F129" i="1"/>
  <c r="F145" i="1"/>
  <c r="G145" i="1"/>
  <c r="F161" i="1"/>
  <c r="G161" i="1"/>
  <c r="F131" i="1"/>
  <c r="G131" i="1"/>
  <c r="F143" i="1"/>
  <c r="G143" i="1"/>
  <c r="K143" i="1"/>
  <c r="K147" i="1"/>
  <c r="G147" i="1"/>
  <c r="F147" i="1"/>
  <c r="F134" i="1"/>
  <c r="G134" i="1"/>
  <c r="G142" i="1"/>
  <c r="F142" i="1"/>
  <c r="F150" i="1"/>
  <c r="G150" i="1"/>
  <c r="G158" i="1"/>
  <c r="F158" i="1"/>
  <c r="F166" i="1"/>
  <c r="G166" i="1"/>
  <c r="G128" i="1"/>
  <c r="K148" i="1"/>
  <c r="G148" i="1"/>
  <c r="F148" i="1"/>
  <c r="G164" i="1"/>
  <c r="F164" i="1"/>
  <c r="F133" i="1"/>
  <c r="G133" i="1"/>
  <c r="F141" i="1"/>
  <c r="G141" i="1"/>
  <c r="K149" i="1"/>
  <c r="F149" i="1"/>
  <c r="G149" i="1"/>
  <c r="F157" i="1"/>
  <c r="G157" i="1"/>
  <c r="F165" i="1"/>
  <c r="G165" i="1"/>
  <c r="J157" i="1" l="1"/>
  <c r="J149" i="1"/>
  <c r="K157" i="1"/>
  <c r="K156" i="1"/>
  <c r="L156" i="1" s="1"/>
  <c r="K132" i="1"/>
  <c r="M132" i="1" s="1"/>
  <c r="J132" i="1"/>
  <c r="J141" i="1"/>
  <c r="K141" i="1"/>
  <c r="L141" i="1" s="1"/>
  <c r="J134" i="1"/>
  <c r="K134" i="1"/>
  <c r="L134" i="1" s="1"/>
  <c r="J165" i="1"/>
  <c r="K165" i="1"/>
  <c r="L165" i="1" s="1"/>
  <c r="J166" i="1"/>
  <c r="K166" i="1"/>
  <c r="M166" i="1" s="1"/>
  <c r="J161" i="1"/>
  <c r="K137" i="1"/>
  <c r="M137" i="1" s="1"/>
  <c r="J137" i="1"/>
  <c r="K153" i="1"/>
  <c r="M153" i="1" s="1"/>
  <c r="K142" i="1"/>
  <c r="M142" i="1" s="1"/>
  <c r="I131" i="1"/>
  <c r="J131" i="1"/>
  <c r="K163" i="1"/>
  <c r="M163" i="1" s="1"/>
  <c r="J142" i="1"/>
  <c r="J156" i="1"/>
  <c r="I163" i="1"/>
  <c r="K145" i="1"/>
  <c r="M145" i="1" s="1"/>
  <c r="K136" i="1"/>
  <c r="M136" i="1" s="1"/>
  <c r="J129" i="1"/>
  <c r="K130" i="1"/>
  <c r="M130" i="1" s="1"/>
  <c r="J136" i="1"/>
  <c r="K161" i="1"/>
  <c r="M161" i="1" s="1"/>
  <c r="K154" i="1"/>
  <c r="M154" i="1" s="1"/>
  <c r="J130" i="1"/>
  <c r="J153" i="1"/>
  <c r="I155" i="1"/>
  <c r="K164" i="1"/>
  <c r="M164" i="1" s="1"/>
  <c r="K155" i="1"/>
  <c r="M155" i="1" s="1"/>
  <c r="J164" i="1"/>
  <c r="K158" i="1"/>
  <c r="M158" i="1" s="1"/>
  <c r="K129" i="1"/>
  <c r="L129" i="1" s="1"/>
  <c r="J154" i="1"/>
  <c r="K152" i="1"/>
  <c r="L152" i="1" s="1"/>
  <c r="J145" i="1"/>
  <c r="J127" i="1"/>
  <c r="K128" i="1"/>
  <c r="L128" i="1" s="1"/>
  <c r="J140" i="1"/>
  <c r="K139" i="1"/>
  <c r="L139" i="1" s="1"/>
  <c r="K140" i="1"/>
  <c r="M140" i="1" s="1"/>
  <c r="J152" i="1"/>
  <c r="J138" i="1"/>
  <c r="K138" i="1"/>
  <c r="M138" i="1" s="1"/>
  <c r="J150" i="1"/>
  <c r="J162" i="1"/>
  <c r="K150" i="1"/>
  <c r="M150" i="1" s="1"/>
  <c r="K144" i="1"/>
  <c r="M144" i="1" s="1"/>
  <c r="I139" i="1"/>
  <c r="K162" i="1"/>
  <c r="M162" i="1" s="1"/>
  <c r="J144" i="1"/>
  <c r="J158" i="1"/>
  <c r="J128" i="1"/>
  <c r="I159" i="1"/>
  <c r="K127" i="1"/>
  <c r="L127" i="1" s="1"/>
  <c r="F127" i="1"/>
  <c r="K159" i="1"/>
  <c r="M159" i="1" s="1"/>
  <c r="J133" i="1"/>
  <c r="G127" i="1"/>
  <c r="K133" i="1"/>
  <c r="M133" i="1" s="1"/>
  <c r="M146" i="1"/>
  <c r="L146" i="1"/>
  <c r="M135" i="1"/>
  <c r="L135" i="1"/>
  <c r="M156" i="1"/>
  <c r="M148" i="1"/>
  <c r="L148" i="1"/>
  <c r="M151" i="1"/>
  <c r="L151" i="1"/>
  <c r="M157" i="1"/>
  <c r="L157" i="1"/>
  <c r="M131" i="1"/>
  <c r="L131" i="1"/>
  <c r="M160" i="1"/>
  <c r="L160" i="1"/>
  <c r="L132" i="1"/>
  <c r="M149" i="1"/>
  <c r="L149" i="1"/>
  <c r="M147" i="1"/>
  <c r="L147" i="1"/>
  <c r="M167" i="1"/>
  <c r="L167" i="1"/>
  <c r="M143" i="1"/>
  <c r="L143" i="1"/>
  <c r="L153" i="1"/>
  <c r="D113" i="1"/>
  <c r="D115" i="1"/>
  <c r="D111" i="1"/>
  <c r="M165" i="1" l="1"/>
  <c r="M141" i="1"/>
  <c r="M134" i="1"/>
  <c r="L166" i="1"/>
  <c r="L137" i="1"/>
  <c r="L142" i="1"/>
  <c r="L163" i="1"/>
  <c r="M152" i="1"/>
  <c r="L145" i="1"/>
  <c r="L136" i="1"/>
  <c r="M128" i="1"/>
  <c r="L164" i="1"/>
  <c r="L130" i="1"/>
  <c r="L155" i="1"/>
  <c r="L161" i="1"/>
  <c r="L154" i="1"/>
  <c r="M129" i="1"/>
  <c r="L144" i="1"/>
  <c r="L158" i="1"/>
  <c r="L150" i="1"/>
  <c r="M127" i="1"/>
  <c r="L133" i="1"/>
  <c r="L140" i="1"/>
  <c r="L159" i="1"/>
  <c r="L162" i="1"/>
  <c r="M139" i="1"/>
  <c r="L138" i="1"/>
  <c r="D117" i="1"/>
  <c r="D119" i="1" s="1"/>
  <c r="S127" i="1" l="1"/>
  <c r="U127" i="1" s="1"/>
  <c r="S135" i="1"/>
  <c r="S130" i="1"/>
  <c r="S155" i="1"/>
  <c r="S165" i="1"/>
  <c r="S133" i="1"/>
  <c r="S163" i="1"/>
  <c r="S156" i="1"/>
  <c r="S139" i="1"/>
  <c r="S153" i="1"/>
  <c r="S145" i="1"/>
  <c r="S131" i="1"/>
  <c r="S166" i="1"/>
  <c r="S158" i="1"/>
  <c r="S137" i="1"/>
  <c r="S132" i="1"/>
  <c r="S128" i="1"/>
  <c r="S140" i="1"/>
  <c r="S161" i="1"/>
  <c r="S150" i="1"/>
  <c r="S141" i="1"/>
  <c r="S159" i="1"/>
  <c r="S162" i="1"/>
  <c r="S134" i="1"/>
  <c r="S167" i="1"/>
  <c r="S154" i="1"/>
  <c r="S152" i="1"/>
  <c r="S149" i="1"/>
  <c r="S146" i="1"/>
  <c r="S136" i="1"/>
  <c r="S148" i="1"/>
  <c r="S151" i="1"/>
  <c r="S129" i="1"/>
  <c r="S143" i="1"/>
  <c r="S164" i="1"/>
  <c r="S157" i="1"/>
  <c r="S160" i="1"/>
  <c r="S142" i="1"/>
  <c r="S144" i="1"/>
  <c r="S147" i="1"/>
  <c r="S138" i="1"/>
  <c r="T143" i="1" l="1"/>
  <c r="U143" i="1"/>
  <c r="V143" i="1"/>
  <c r="T147" i="1"/>
  <c r="U147" i="1"/>
  <c r="V147" i="1"/>
  <c r="T129" i="1"/>
  <c r="U129" i="1"/>
  <c r="V129" i="1"/>
  <c r="T167" i="1"/>
  <c r="U167" i="1"/>
  <c r="V167" i="1"/>
  <c r="T128" i="1"/>
  <c r="U128" i="1"/>
  <c r="V128" i="1"/>
  <c r="T139" i="1"/>
  <c r="U139" i="1"/>
  <c r="V139" i="1"/>
  <c r="T151" i="1"/>
  <c r="U151" i="1"/>
  <c r="V151" i="1"/>
  <c r="T127" i="1"/>
  <c r="V127" i="1"/>
  <c r="T148" i="1"/>
  <c r="U148" i="1"/>
  <c r="V148" i="1"/>
  <c r="V162" i="1"/>
  <c r="T162" i="1"/>
  <c r="U162" i="1"/>
  <c r="T137" i="1"/>
  <c r="U137" i="1"/>
  <c r="V137" i="1"/>
  <c r="T163" i="1"/>
  <c r="U163" i="1"/>
  <c r="V163" i="1"/>
  <c r="T132" i="1"/>
  <c r="U132" i="1"/>
  <c r="V132" i="1"/>
  <c r="V142" i="1"/>
  <c r="U142" i="1"/>
  <c r="T142" i="1"/>
  <c r="T136" i="1"/>
  <c r="U136" i="1"/>
  <c r="V136" i="1"/>
  <c r="T159" i="1"/>
  <c r="U159" i="1"/>
  <c r="V159" i="1"/>
  <c r="V158" i="1"/>
  <c r="T158" i="1"/>
  <c r="U158" i="1"/>
  <c r="T133" i="1"/>
  <c r="U133" i="1"/>
  <c r="V133" i="1"/>
  <c r="T144" i="1"/>
  <c r="U144" i="1"/>
  <c r="V144" i="1"/>
  <c r="T156" i="1"/>
  <c r="U156" i="1"/>
  <c r="V156" i="1"/>
  <c r="T160" i="1"/>
  <c r="U160" i="1"/>
  <c r="V160" i="1"/>
  <c r="V146" i="1"/>
  <c r="T146" i="1"/>
  <c r="U146" i="1"/>
  <c r="T141" i="1"/>
  <c r="U141" i="1"/>
  <c r="V141" i="1"/>
  <c r="V166" i="1"/>
  <c r="T166" i="1"/>
  <c r="U166" i="1"/>
  <c r="T165" i="1"/>
  <c r="U165" i="1"/>
  <c r="V165" i="1"/>
  <c r="V134" i="1"/>
  <c r="T134" i="1"/>
  <c r="U134" i="1"/>
  <c r="T157" i="1"/>
  <c r="U157" i="1"/>
  <c r="V157" i="1"/>
  <c r="T149" i="1"/>
  <c r="U149" i="1"/>
  <c r="V149" i="1"/>
  <c r="V150" i="1"/>
  <c r="U150" i="1"/>
  <c r="T150" i="1"/>
  <c r="T131" i="1"/>
  <c r="U131" i="1"/>
  <c r="V131" i="1"/>
  <c r="T155" i="1"/>
  <c r="U155" i="1"/>
  <c r="V155" i="1"/>
  <c r="U164" i="1"/>
  <c r="T164" i="1"/>
  <c r="V164" i="1"/>
  <c r="T152" i="1"/>
  <c r="U152" i="1"/>
  <c r="V152" i="1"/>
  <c r="T161" i="1"/>
  <c r="U161" i="1"/>
  <c r="V161" i="1"/>
  <c r="T145" i="1"/>
  <c r="U145" i="1"/>
  <c r="V145" i="1"/>
  <c r="V130" i="1"/>
  <c r="T130" i="1"/>
  <c r="U130" i="1"/>
  <c r="V138" i="1"/>
  <c r="T138" i="1"/>
  <c r="U138" i="1"/>
  <c r="V154" i="1"/>
  <c r="T154" i="1"/>
  <c r="U154" i="1"/>
  <c r="T140" i="1"/>
  <c r="U140" i="1"/>
  <c r="V140" i="1"/>
  <c r="T153" i="1"/>
  <c r="U153" i="1"/>
  <c r="V153" i="1"/>
  <c r="T135" i="1"/>
  <c r="U135" i="1"/>
  <c r="V135" i="1"/>
  <c r="W145" i="1" l="1"/>
  <c r="X145" i="1"/>
  <c r="W144" i="1"/>
  <c r="X144" i="1"/>
  <c r="W153" i="1"/>
  <c r="X153" i="1"/>
  <c r="W154" i="1"/>
  <c r="X154" i="1"/>
  <c r="X164" i="1"/>
  <c r="W164" i="1"/>
  <c r="W146" i="1"/>
  <c r="X146" i="1"/>
  <c r="X159" i="1"/>
  <c r="W159" i="1"/>
  <c r="W142" i="1"/>
  <c r="X142" i="1"/>
  <c r="W127" i="1"/>
  <c r="X127" i="1"/>
  <c r="W161" i="1"/>
  <c r="X161" i="1"/>
  <c r="W166" i="1"/>
  <c r="X166" i="1"/>
  <c r="W133" i="1"/>
  <c r="X133" i="1"/>
  <c r="W147" i="1"/>
  <c r="X147" i="1"/>
  <c r="X138" i="1"/>
  <c r="W138" i="1"/>
  <c r="W136" i="1"/>
  <c r="X136" i="1"/>
  <c r="X151" i="1"/>
  <c r="W151" i="1"/>
  <c r="X160" i="1"/>
  <c r="W160" i="1"/>
  <c r="X128" i="1"/>
  <c r="W128" i="1"/>
  <c r="X140" i="1"/>
  <c r="W140" i="1"/>
  <c r="W150" i="1"/>
  <c r="X150" i="1"/>
  <c r="X149" i="1"/>
  <c r="W149" i="1"/>
  <c r="W134" i="1"/>
  <c r="X134" i="1"/>
  <c r="W156" i="1"/>
  <c r="X156" i="1"/>
  <c r="X163" i="1"/>
  <c r="W163" i="1"/>
  <c r="W162" i="1"/>
  <c r="X162" i="1"/>
  <c r="X167" i="1"/>
  <c r="W167" i="1"/>
  <c r="X132" i="1"/>
  <c r="W132" i="1"/>
  <c r="X155" i="1"/>
  <c r="W155" i="1"/>
  <c r="X141" i="1"/>
  <c r="W141" i="1"/>
  <c r="W135" i="1"/>
  <c r="X135" i="1"/>
  <c r="W152" i="1"/>
  <c r="X152" i="1"/>
  <c r="W165" i="1"/>
  <c r="X165" i="1"/>
  <c r="X148" i="1"/>
  <c r="W148" i="1"/>
  <c r="W143" i="1"/>
  <c r="X143" i="1"/>
  <c r="X130" i="1"/>
  <c r="W130" i="1"/>
  <c r="W131" i="1"/>
  <c r="X131" i="1"/>
  <c r="W139" i="1"/>
  <c r="X139" i="1"/>
  <c r="W157" i="1"/>
  <c r="X157" i="1"/>
  <c r="X158" i="1"/>
  <c r="W158" i="1"/>
  <c r="W137" i="1"/>
  <c r="X137" i="1"/>
  <c r="W129" i="1"/>
  <c r="X129" i="1"/>
</calcChain>
</file>

<file path=xl/sharedStrings.xml><?xml version="1.0" encoding="utf-8"?>
<sst xmlns="http://schemas.openxmlformats.org/spreadsheetml/2006/main" count="190" uniqueCount="135">
  <si>
    <t>user input value</t>
  </si>
  <si>
    <t>calculated value</t>
  </si>
  <si>
    <t xml:space="preserve">Input Voltage </t>
  </si>
  <si>
    <t>Inductor Value</t>
  </si>
  <si>
    <t>Inductor DCR</t>
  </si>
  <si>
    <t>V</t>
  </si>
  <si>
    <t>A</t>
  </si>
  <si>
    <t>Ω</t>
  </si>
  <si>
    <t>Power Stage Calculation: Current and Voltage Ripple</t>
  </si>
  <si>
    <t>Inductor Current pk-pk Ripple</t>
  </si>
  <si>
    <t>Compensation and Bode Plot</t>
  </si>
  <si>
    <t>Freq</t>
  </si>
  <si>
    <t>ω</t>
  </si>
  <si>
    <t>s=iω</t>
  </si>
  <si>
    <t>Gvd</t>
  </si>
  <si>
    <r>
      <t>Gvd LM(</t>
    </r>
    <r>
      <rPr>
        <sz val="11"/>
        <color theme="1"/>
        <rFont val="Calibri"/>
        <family val="2"/>
      </rPr>
      <t>ω)</t>
    </r>
  </si>
  <si>
    <t>Gvd Ф(ω)</t>
  </si>
  <si>
    <t>Gvc</t>
  </si>
  <si>
    <t>Gvc LM(ω)</t>
  </si>
  <si>
    <t>Go LM(ω)</t>
  </si>
  <si>
    <t>Go Ф(ω)</t>
  </si>
  <si>
    <t>Gvc Ф(ω)</t>
  </si>
  <si>
    <t>suggested value</t>
  </si>
  <si>
    <t>Go</t>
  </si>
  <si>
    <t>Gvc-- compensation network; Gvd-- control plant; Go-- system loop</t>
  </si>
  <si>
    <t>percentage of pk-pk current</t>
  </si>
  <si>
    <t>%</t>
  </si>
  <si>
    <t>Input Voltage Ripple</t>
  </si>
  <si>
    <t>Output Voltage Ripple</t>
  </si>
  <si>
    <t>Application Paramters: Input and Output Rating</t>
  </si>
  <si>
    <t>A/us</t>
  </si>
  <si>
    <t>Load Transient Amplitude</t>
  </si>
  <si>
    <t>Load Transient Speed</t>
  </si>
  <si>
    <t>Full Load Current</t>
  </si>
  <si>
    <t>kHz</t>
  </si>
  <si>
    <t>pcs</t>
  </si>
  <si>
    <t>Output Over(Under)shoot</t>
  </si>
  <si>
    <t>PWM Ramp amplitude factor</t>
  </si>
  <si>
    <t>PWM gain</t>
  </si>
  <si>
    <t>Total Output Capacitor ESR</t>
  </si>
  <si>
    <t>Total Output Capacitor ESL</t>
  </si>
  <si>
    <t>Cout ESR zero, f_esr</t>
  </si>
  <si>
    <t>Double LC poles, f_LC</t>
  </si>
  <si>
    <t>Switching Frequency, f_sw</t>
  </si>
  <si>
    <t>LC damping rate, Q</t>
  </si>
  <si>
    <t>Target phase margin, PM</t>
  </si>
  <si>
    <t>°</t>
  </si>
  <si>
    <t>Compensation gain at f_c</t>
  </si>
  <si>
    <t>Compensation phase boost at f_c</t>
  </si>
  <si>
    <t>dB</t>
  </si>
  <si>
    <t>Compensation 2nd zero</t>
  </si>
  <si>
    <t>Compensation 1st zero</t>
  </si>
  <si>
    <t>Compensation 1st pole</t>
  </si>
  <si>
    <t>Compensation 2nd pole</t>
  </si>
  <si>
    <t>V/V</t>
  </si>
  <si>
    <t>DiffAmp gain</t>
    <phoneticPr fontId="11" type="noConversion"/>
  </si>
  <si>
    <t>R7</t>
    <phoneticPr fontId="11" type="noConversion"/>
  </si>
  <si>
    <t>R6</t>
    <phoneticPr fontId="11" type="noConversion"/>
  </si>
  <si>
    <t>R5</t>
    <phoneticPr fontId="11" type="noConversion"/>
  </si>
  <si>
    <t>C6</t>
    <phoneticPr fontId="11" type="noConversion"/>
  </si>
  <si>
    <t>C5</t>
    <phoneticPr fontId="11" type="noConversion"/>
  </si>
  <si>
    <t>C4</t>
    <phoneticPr fontId="11" type="noConversion"/>
  </si>
  <si>
    <t>uH</t>
  </si>
  <si>
    <t>uF</t>
  </si>
  <si>
    <t>mΩ</t>
  </si>
  <si>
    <t>nH</t>
  </si>
  <si>
    <t>mV</t>
  </si>
  <si>
    <t>kΩ</t>
  </si>
  <si>
    <t>nF</t>
  </si>
  <si>
    <t>pF</t>
  </si>
  <si>
    <t>Inductor:</t>
  </si>
  <si>
    <t>Input Cap:</t>
  </si>
  <si>
    <t>Inductor Value Chosen</t>
  </si>
  <si>
    <t>Output Cap:</t>
  </si>
  <si>
    <t>mVpp</t>
  </si>
  <si>
    <t>% Vin</t>
  </si>
  <si>
    <t>mVrms</t>
  </si>
  <si>
    <t xml:space="preserve">NOTE:  Input effective C - derated for applied Vin </t>
    <phoneticPr fontId="11" type="noConversion"/>
  </si>
  <si>
    <t xml:space="preserve">% of  Full Load      </t>
    <phoneticPr fontId="11" type="noConversion"/>
  </si>
  <si>
    <t>Select cross over point, f_c</t>
    <phoneticPr fontId="11" type="noConversion"/>
  </si>
  <si>
    <t>MLCC Capacitor ESR, each</t>
    <phoneticPr fontId="11" type="noConversion"/>
  </si>
  <si>
    <t>MLCC Capacitor ESL, each</t>
    <phoneticPr fontId="11" type="noConversion"/>
  </si>
  <si>
    <t>SP/Bulk Capacitor, each</t>
    <phoneticPr fontId="11" type="noConversion"/>
  </si>
  <si>
    <t>SP/Bulk Capacitor ESR, each</t>
    <phoneticPr fontId="11" type="noConversion"/>
  </si>
  <si>
    <t>SP/Bulk Capacitor ESL, each</t>
    <phoneticPr fontId="11" type="noConversion"/>
  </si>
  <si>
    <t>mΩ</t>
    <phoneticPr fontId="11" type="noConversion"/>
  </si>
  <si>
    <t>Effective Load, R_L</t>
    <phoneticPr fontId="11" type="noConversion"/>
  </si>
  <si>
    <t>Target peak-to-peak input ripple voltage (% of Vin)</t>
  </si>
  <si>
    <t>Target peak-to-peak output ripple voltage (% of Vout)</t>
  </si>
  <si>
    <t>Typically, the ratio of inductor ripple current to full load current is 20-40%</t>
  </si>
  <si>
    <t>Can be used to size additional electrolytic input caps for further ripple smoothing</t>
  </si>
  <si>
    <t>Load Transient Overshoot/ Undershoot</t>
  </si>
  <si>
    <t>Maximum Transient Overshoot</t>
  </si>
  <si>
    <t>error (Outside Limits)</t>
  </si>
  <si>
    <r>
      <t xml:space="preserve">Output Voltage </t>
    </r>
    <r>
      <rPr>
        <sz val="12"/>
        <color theme="1"/>
        <rFont val="Times New Roman"/>
        <family val="1"/>
      </rPr>
      <t>Ripple</t>
    </r>
  </si>
  <si>
    <t>Total Ceramic Input Capacitance</t>
  </si>
  <si>
    <t>Input Capacitance, each</t>
  </si>
  <si>
    <t>Input Capacitor ESR, each</t>
  </si>
  <si>
    <t>Input Capacitor ESL, each</t>
  </si>
  <si>
    <t>Number Parallel Input Capacitors</t>
  </si>
  <si>
    <t>Total Input Capacitance</t>
  </si>
  <si>
    <t>Total Output Capacitance</t>
  </si>
  <si>
    <t>MLCC Capacitance, each</t>
  </si>
  <si>
    <t>Number Parallel MLCC Capacitors</t>
  </si>
  <si>
    <t>Number Parallel SP/Bulk Capacitors</t>
  </si>
  <si>
    <t>NOTE:  Input effective C - derated for applied Vout</t>
  </si>
  <si>
    <t xml:space="preserve">NOTE:  Input effective C - derated for applied Vout </t>
  </si>
  <si>
    <t>Gea</t>
  </si>
  <si>
    <t>Gea LM</t>
  </si>
  <si>
    <t>EA gain limit at f_c</t>
  </si>
  <si>
    <t>Target peak output transient voltage swing (% of Vout)</t>
  </si>
  <si>
    <t>Note: result is a general approximation</t>
  </si>
  <si>
    <t>Instantaneous full load release</t>
  </si>
  <si>
    <t>Assumes inductor ripple current is 25% of maximum Iout</t>
  </si>
  <si>
    <r>
      <rPr>
        <sz val="12"/>
        <rFont val="Times New Roman"/>
        <family val="1"/>
      </rPr>
      <t>Output</t>
    </r>
    <r>
      <rPr>
        <sz val="12"/>
        <color theme="1"/>
        <rFont val="Times New Roman"/>
        <family val="1"/>
      </rPr>
      <t xml:space="preserve"> Voltage</t>
    </r>
  </si>
  <si>
    <t>R_FSET</t>
  </si>
  <si>
    <r>
      <t>k</t>
    </r>
    <r>
      <rPr>
        <sz val="12"/>
        <color theme="1"/>
        <rFont val="Calibri"/>
        <family val="2"/>
      </rPr>
      <t>Ω</t>
    </r>
  </si>
  <si>
    <r>
      <t>10~20k</t>
    </r>
    <r>
      <rPr>
        <sz val="12"/>
        <color theme="1"/>
        <rFont val="Batang"/>
        <family val="1"/>
        <charset val="129"/>
      </rPr>
      <t>Ω</t>
    </r>
  </si>
  <si>
    <t>R4</t>
  </si>
  <si>
    <t>short line expanded for visibility</t>
  </si>
  <si>
    <r>
      <rPr>
        <b/>
        <sz val="11"/>
        <color rgb="FFFF0000"/>
        <rFont val="Calibri"/>
        <family val="2"/>
        <scheme val="minor"/>
      </rPr>
      <t>negative R ?</t>
    </r>
    <r>
      <rPr>
        <sz val="11"/>
        <color rgb="FFFF0000"/>
        <rFont val="Calibri"/>
        <family val="2"/>
        <scheme val="minor"/>
      </rPr>
      <t xml:space="preserve">   Occurs when line 90 goes negative</t>
    </r>
  </si>
  <si>
    <t>changed green cell to blue (user input)</t>
  </si>
  <si>
    <t>added rows 121-123 for R4</t>
  </si>
  <si>
    <t>Vout, actual</t>
  </si>
  <si>
    <r>
      <t xml:space="preserve">uses 20MHz GBW - no margin - </t>
    </r>
    <r>
      <rPr>
        <sz val="11"/>
        <color rgb="FFFF0000"/>
        <rFont val="Calibri"/>
        <family val="2"/>
        <scheme val="minor"/>
      </rPr>
      <t>SIMs show 14MHz typ, 11MHz min, not extracted</t>
    </r>
    <r>
      <rPr>
        <sz val="11"/>
        <color rgb="FF7030A0"/>
        <rFont val="Calibri"/>
        <family val="2"/>
        <scheme val="minor"/>
      </rPr>
      <t xml:space="preserve"> - </t>
    </r>
    <r>
      <rPr>
        <b/>
        <sz val="11"/>
        <color rgb="FF7030A0"/>
        <rFont val="Calibri"/>
        <family val="2"/>
        <scheme val="minor"/>
      </rPr>
      <t>changed to &lt;14MHz</t>
    </r>
  </si>
  <si>
    <t>Fres of Cout due to ESL occurs at lower Freq than ESR zero - 1st pole should go with lower of ESR zero or Fres</t>
  </si>
  <si>
    <t>a)  If D90&lt;0, force D111 to 0</t>
  </si>
  <si>
    <t>b)  If D90&lt;0, turn D81 red and flash sign that F-C or boost too high (similar to how D80 BW limit works)</t>
  </si>
  <si>
    <t>c)  change whole methodology per proposal at S75</t>
  </si>
  <si>
    <t>3 options to make repairs:</t>
  </si>
  <si>
    <t>known from FAN2510 exercise, but decided to live with it due to lack of options</t>
  </si>
  <si>
    <t>comment - changing slew rate has no impact on Cout - in reality, slew rate has substantial impact</t>
  </si>
  <si>
    <t>2nd pole can go with Fres</t>
  </si>
  <si>
    <t>Choice B is probably easiest</t>
  </si>
  <si>
    <r>
      <rPr>
        <b/>
        <sz val="11"/>
        <color rgb="FFFF0000"/>
        <rFont val="Calibri"/>
        <family val="2"/>
        <scheme val="minor"/>
      </rPr>
      <t xml:space="preserve">negative </t>
    </r>
    <r>
      <rPr>
        <sz val="11"/>
        <color rgb="FFFF0000"/>
        <rFont val="Calibri"/>
        <family val="2"/>
        <scheme val="minor"/>
      </rPr>
      <t>when required phase boost very high - denominator becomes negative number (subtraction of large boost angle) - example:  120kHz, 75</t>
    </r>
    <r>
      <rPr>
        <vertAlign val="superscript"/>
        <sz val="11"/>
        <color rgb="FFFF0000"/>
        <rFont val="Calibri"/>
        <family val="2"/>
        <scheme val="minor"/>
      </rPr>
      <t>o</t>
    </r>
    <r>
      <rPr>
        <sz val="11"/>
        <color rgb="FFFF0000"/>
        <rFont val="Calibri"/>
        <family val="2"/>
        <scheme val="minor"/>
      </rPr>
      <t xml:space="preserve"> vs 80</t>
    </r>
    <r>
      <rPr>
        <vertAlign val="superscript"/>
        <sz val="11"/>
        <color rgb="FFFF0000"/>
        <rFont val="Calibri"/>
        <family val="2"/>
        <scheme val="minor"/>
      </rPr>
      <t>o</t>
    </r>
    <r>
      <rPr>
        <sz val="11"/>
        <color rgb="FFFF0000"/>
        <rFont val="Calibri"/>
        <family val="2"/>
        <scheme val="minor"/>
      </rPr>
      <t xml:space="preserve"> phase margin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</si>
</sst>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.0"/>
    <numFmt numFmtId="166" formatCode="0.000"/>
  </numFmts>
  <fonts count="32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3F3F76"/>
      <name val="Calibri"/>
      <family val="2"/>
      <scheme val="minor"/>
    </font>
    <font>
      <sz val="18"/>
      <color theme="1"/>
      <name val="Times New Roman"/>
      <family val="1"/>
    </font>
    <font>
      <sz val="12"/>
      <color rgb="FF3F3F76"/>
      <name val="Times New Roman"/>
      <family val="1"/>
    </font>
    <font>
      <sz val="11"/>
      <color theme="1"/>
      <name val="Times New Roman"/>
      <family val="1"/>
    </font>
    <font>
      <i/>
      <sz val="11"/>
      <color rgb="FF7F7F7F"/>
      <name val="Calibri"/>
      <family val="2"/>
      <scheme val="minor"/>
    </font>
    <font>
      <sz val="12"/>
      <color theme="1"/>
      <name val="Calibri"/>
      <family val="2"/>
    </font>
    <font>
      <sz val="9"/>
      <name val="Calibri"/>
      <family val="3"/>
      <charset val="134"/>
      <scheme val="minor"/>
    </font>
    <font>
      <sz val="12"/>
      <color theme="1"/>
      <name val="Batang"/>
      <family val="1"/>
      <charset val="129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Times New Roman"/>
      <family val="1"/>
    </font>
    <font>
      <strike/>
      <sz val="12"/>
      <color rgb="FF0000FF"/>
      <name val="Times New Roman"/>
      <family val="1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  <font>
      <vertAlign val="superscript"/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rgb="FF33CCF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6" borderId="1" applyNumberFormat="0" applyAlignment="0" applyProtection="0"/>
    <xf numFmtId="0" fontId="9" fillId="0" borderId="0" applyNumberFormat="0" applyFill="0" applyBorder="0" applyAlignment="0" applyProtection="0"/>
  </cellStyleXfs>
  <cellXfs count="90">
    <xf numFmtId="0" fontId="0" fillId="0" borderId="0" xfId="0"/>
    <xf numFmtId="0" fontId="1" fillId="3" borderId="0" xfId="0" applyFont="1" applyFill="1" applyBorder="1" applyAlignment="1" applyProtection="1">
      <alignment horizontal="center"/>
      <protection locked="0"/>
    </xf>
    <xf numFmtId="164" fontId="1" fillId="4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/>
    <xf numFmtId="0" fontId="3" fillId="0" borderId="0" xfId="0" applyFont="1"/>
    <xf numFmtId="11" fontId="0" fillId="0" borderId="0" xfId="0" applyNumberFormat="1"/>
    <xf numFmtId="0" fontId="6" fillId="0" borderId="0" xfId="0" applyFont="1"/>
    <xf numFmtId="0" fontId="5" fillId="6" borderId="0" xfId="1" applyBorder="1" applyAlignment="1" applyProtection="1">
      <alignment horizontal="center"/>
      <protection locked="0"/>
    </xf>
    <xf numFmtId="0" fontId="8" fillId="0" borderId="0" xfId="0" applyFont="1"/>
    <xf numFmtId="0" fontId="0" fillId="5" borderId="0" xfId="0" applyFill="1" applyBorder="1" applyAlignment="1" applyProtection="1">
      <alignment horizontal="center" wrapText="1"/>
      <protection hidden="1"/>
    </xf>
    <xf numFmtId="0" fontId="0" fillId="0" borderId="0" xfId="0"/>
    <xf numFmtId="0" fontId="9" fillId="0" borderId="0" xfId="2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7" fillId="6" borderId="0" xfId="1" applyFont="1" applyBorder="1" applyAlignment="1" applyProtection="1">
      <alignment horizontal="center"/>
      <protection hidden="1"/>
    </xf>
    <xf numFmtId="0" fontId="0" fillId="0" borderId="0" xfId="0"/>
    <xf numFmtId="9" fontId="1" fillId="3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2" fontId="1" fillId="3" borderId="0" xfId="0" applyNumberFormat="1" applyFont="1" applyFill="1" applyBorder="1" applyAlignment="1" applyProtection="1">
      <alignment horizontal="center"/>
      <protection locked="0"/>
    </xf>
    <xf numFmtId="2" fontId="3" fillId="2" borderId="0" xfId="0" applyNumberFormat="1" applyFont="1" applyFill="1" applyAlignment="1" applyProtection="1">
      <alignment horizontal="center"/>
      <protection hidden="1"/>
    </xf>
    <xf numFmtId="2" fontId="7" fillId="6" borderId="0" xfId="1" applyNumberFormat="1" applyFont="1" applyBorder="1" applyAlignment="1" applyProtection="1">
      <alignment horizontal="center"/>
      <protection hidden="1"/>
    </xf>
    <xf numFmtId="0" fontId="0" fillId="0" borderId="0" xfId="0" applyAlignment="1"/>
    <xf numFmtId="2" fontId="7" fillId="6" borderId="1" xfId="1" applyNumberFormat="1" applyFont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Fill="1" applyBorder="1" applyAlignment="1" applyProtection="1">
      <alignment horizontal="center" wrapText="1"/>
      <protection hidden="1"/>
    </xf>
    <xf numFmtId="2" fontId="1" fillId="7" borderId="0" xfId="0" applyNumberFormat="1" applyFont="1" applyFill="1" applyBorder="1" applyAlignment="1" applyProtection="1">
      <alignment horizontal="center"/>
      <protection locked="0"/>
    </xf>
    <xf numFmtId="0" fontId="1" fillId="7" borderId="0" xfId="0" applyFont="1" applyFill="1" applyBorder="1" applyAlignment="1" applyProtection="1">
      <alignment horizontal="center"/>
      <protection locked="0"/>
    </xf>
    <xf numFmtId="0" fontId="0" fillId="0" borderId="0" xfId="0"/>
    <xf numFmtId="164" fontId="7" fillId="6" borderId="0" xfId="1" applyNumberFormat="1" applyFont="1" applyBorder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7" fillId="0" borderId="0" xfId="0" applyFont="1"/>
    <xf numFmtId="0" fontId="18" fillId="0" borderId="0" xfId="0" applyFont="1"/>
    <xf numFmtId="0" fontId="21" fillId="0" borderId="0" xfId="0" applyFont="1"/>
    <xf numFmtId="2" fontId="0" fillId="0" borderId="0" xfId="0" applyNumberFormat="1"/>
    <xf numFmtId="2" fontId="3" fillId="0" borderId="0" xfId="0" applyNumberFormat="1" applyFont="1"/>
    <xf numFmtId="0" fontId="0" fillId="0" borderId="0" xfId="0" applyFill="1"/>
    <xf numFmtId="0" fontId="23" fillId="0" borderId="0" xfId="0" applyFont="1"/>
    <xf numFmtId="0" fontId="20" fillId="0" borderId="0" xfId="0" applyFont="1"/>
    <xf numFmtId="0" fontId="24" fillId="0" borderId="0" xfId="0" applyFont="1"/>
    <xf numFmtId="0" fontId="0" fillId="0" borderId="0" xfId="0"/>
    <xf numFmtId="164" fontId="1" fillId="8" borderId="0" xfId="0" applyNumberFormat="1" applyFont="1" applyFill="1" applyBorder="1" applyAlignment="1" applyProtection="1">
      <alignment horizontal="center"/>
      <protection hidden="1"/>
    </xf>
    <xf numFmtId="0" fontId="25" fillId="0" borderId="0" xfId="0" applyFont="1"/>
    <xf numFmtId="0" fontId="19" fillId="0" borderId="0" xfId="0" applyFont="1"/>
    <xf numFmtId="0" fontId="26" fillId="0" borderId="0" xfId="0" applyFont="1"/>
    <xf numFmtId="0" fontId="0" fillId="0" borderId="0" xfId="0"/>
    <xf numFmtId="0" fontId="22" fillId="0" borderId="0" xfId="0" applyFont="1"/>
    <xf numFmtId="0" fontId="27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11" fontId="28" fillId="0" borderId="0" xfId="0" applyNumberFormat="1" applyFont="1" applyProtection="1">
      <protection hidden="1"/>
    </xf>
    <xf numFmtId="0" fontId="28" fillId="0" borderId="0" xfId="0" applyNumberFormat="1" applyFont="1" applyProtection="1">
      <protection hidden="1"/>
    </xf>
    <xf numFmtId="0" fontId="29" fillId="0" borderId="0" xfId="0" applyFont="1" applyProtection="1">
      <protection hidden="1"/>
    </xf>
    <xf numFmtId="165" fontId="7" fillId="6" borderId="0" xfId="1" applyNumberFormat="1" applyFont="1" applyBorder="1" applyAlignment="1" applyProtection="1">
      <alignment horizontal="center"/>
      <protection hidden="1"/>
    </xf>
    <xf numFmtId="0" fontId="0" fillId="0" borderId="0" xfId="0"/>
    <xf numFmtId="0" fontId="3" fillId="0" borderId="0" xfId="0" applyFont="1" applyAlignment="1">
      <alignment horizontal="left" vertical="top"/>
    </xf>
    <xf numFmtId="0" fontId="25" fillId="0" borderId="0" xfId="0" applyFont="1" applyAlignment="1">
      <alignment wrapText="1"/>
    </xf>
    <xf numFmtId="165" fontId="1" fillId="2" borderId="0" xfId="0" applyNumberFormat="1" applyFont="1" applyFill="1" applyBorder="1" applyAlignment="1" applyProtection="1">
      <alignment horizontal="center"/>
      <protection locked="0"/>
    </xf>
    <xf numFmtId="166" fontId="7" fillId="6" borderId="1" xfId="1" applyNumberFormat="1" applyFont="1" applyAlignment="1" applyProtection="1">
      <alignment horizontal="center"/>
      <protection hidden="1"/>
    </xf>
    <xf numFmtId="2" fontId="15" fillId="0" borderId="0" xfId="1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4" fillId="5" borderId="0" xfId="0" applyFont="1" applyFill="1" applyBorder="1" applyAlignment="1" applyProtection="1">
      <alignment horizontal="center" wrapText="1"/>
      <protection hidden="1"/>
    </xf>
    <xf numFmtId="0" fontId="0" fillId="5" borderId="0" xfId="0" applyFill="1" applyBorder="1" applyAlignment="1" applyProtection="1">
      <alignment horizontal="center" wrapText="1"/>
      <protection hidden="1"/>
    </xf>
    <xf numFmtId="0" fontId="9" fillId="0" borderId="0" xfId="2"/>
    <xf numFmtId="0" fontId="0" fillId="0" borderId="0" xfId="0"/>
    <xf numFmtId="0" fontId="16" fillId="0" borderId="0" xfId="0" applyFont="1" applyFill="1" applyBorder="1" applyAlignment="1" applyProtection="1">
      <alignment horizontal="left" wrapText="1"/>
      <protection hidden="1"/>
    </xf>
    <xf numFmtId="0" fontId="19" fillId="0" borderId="0" xfId="0" applyFont="1" applyAlignment="1">
      <alignment horizontal="left" vertical="top" wrapText="1"/>
    </xf>
    <xf numFmtId="0" fontId="31" fillId="0" borderId="0" xfId="0" applyFont="1"/>
  </cellXfs>
  <cellStyles count="3">
    <cellStyle name="Explanatory Text" xfId="2" builtinId="53"/>
    <cellStyle name="Input" xfId="1" builtinId="20"/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FF"/>
      <color rgb="FF33CC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Gvd Gain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Gvd Gain</c:v>
          </c:tx>
          <c:marker>
            <c:symbol val="none"/>
          </c:marker>
          <c:xVal>
            <c:numRef>
              <c:f>Front!$B$127:$B$167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Front!$F$127:$F$167</c:f>
              <c:numCache>
                <c:formatCode>0.00E+00</c:formatCode>
                <c:ptCount val="41"/>
                <c:pt idx="0">
                  <c:v>17.871353328308462</c:v>
                </c:pt>
                <c:pt idx="1">
                  <c:v>17.871622357504588</c:v>
                </c:pt>
                <c:pt idx="2">
                  <c:v>17.87204875450708</c:v>
                </c:pt>
                <c:pt idx="3">
                  <c:v>17.872724584540446</c:v>
                </c:pt>
                <c:pt idx="4">
                  <c:v>17.873795794217841</c:v>
                </c:pt>
                <c:pt idx="5">
                  <c:v>17.875493776412817</c:v>
                </c:pt>
                <c:pt idx="6">
                  <c:v>17.878185472887502</c:v>
                </c:pt>
                <c:pt idx="7">
                  <c:v>17.882452971900761</c:v>
                </c:pt>
                <c:pt idx="8">
                  <c:v>17.889220140674276</c:v>
                </c:pt>
                <c:pt idx="9">
                  <c:v>17.899954529984853</c:v>
                </c:pt>
                <c:pt idx="10">
                  <c:v>17.91699041206633</c:v>
                </c:pt>
                <c:pt idx="11">
                  <c:v>17.944048447748052</c:v>
                </c:pt>
                <c:pt idx="12">
                  <c:v>17.98707880546193</c:v>
                </c:pt>
                <c:pt idx="13">
                  <c:v>18.055647177983502</c:v>
                </c:pt>
                <c:pt idx="14">
                  <c:v>18.165259572955559</c:v>
                </c:pt>
                <c:pt idx="15">
                  <c:v>18.341381035292123</c:v>
                </c:pt>
                <c:pt idx="16">
                  <c:v>18.626693591024036</c:v>
                </c:pt>
                <c:pt idx="17">
                  <c:v>19.095022278605637</c:v>
                </c:pt>
                <c:pt idx="18">
                  <c:v>19.880142814009151</c:v>
                </c:pt>
                <c:pt idx="19">
                  <c:v>21.238923778878075</c:v>
                </c:pt>
                <c:pt idx="20">
                  <c:v>23.652034518447472</c:v>
                </c:pt>
                <c:pt idx="21">
                  <c:v>26.619805440883162</c:v>
                </c:pt>
                <c:pt idx="22">
                  <c:v>22.084439267814705</c:v>
                </c:pt>
                <c:pt idx="23">
                  <c:v>15.070193631461713</c:v>
                </c:pt>
                <c:pt idx="24">
                  <c:v>9.3083638381216343</c:v>
                </c:pt>
                <c:pt idx="25">
                  <c:v>4.3072738662674208</c:v>
                </c:pt>
                <c:pt idx="26">
                  <c:v>-0.28139571706647987</c:v>
                </c:pt>
                <c:pt idx="27">
                  <c:v>-4.6358918954487223</c:v>
                </c:pt>
                <c:pt idx="28">
                  <c:v>-8.8517889414410504</c:v>
                </c:pt>
                <c:pt idx="29">
                  <c:v>-12.982897104540083</c:v>
                </c:pt>
                <c:pt idx="30">
                  <c:v>-17.060294524079652</c:v>
                </c:pt>
                <c:pt idx="31">
                  <c:v>-21.101784938697577</c:v>
                </c:pt>
                <c:pt idx="32">
                  <c:v>-25.116794728246674</c:v>
                </c:pt>
                <c:pt idx="33">
                  <c:v>-29.108848750288317</c:v>
                </c:pt>
                <c:pt idx="34">
                  <c:v>-33.076589774108129</c:v>
                </c:pt>
                <c:pt idx="35">
                  <c:v>-37.013795762590441</c:v>
                </c:pt>
                <c:pt idx="36">
                  <c:v>-40.908649554823342</c:v>
                </c:pt>
                <c:pt idx="37">
                  <c:v>-44.742540611413098</c:v>
                </c:pt>
                <c:pt idx="38">
                  <c:v>-48.488957895373389</c:v>
                </c:pt>
                <c:pt idx="39">
                  <c:v>-52.113577829469726</c:v>
                </c:pt>
                <c:pt idx="40">
                  <c:v>-55.57718297135709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EA8-47EC-9CD1-02CE767F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652824"/>
        <c:axId val="272654784"/>
      </c:scatterChart>
      <c:valAx>
        <c:axId val="272652824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nextTo"/>
        <c:crossAx val="272654784"/>
        <c:crossesAt val="-60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86159733158355412"/>
                <c:y val="0.87868037328667481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272654784"/>
        <c:scaling>
          <c:orientation val="minMax"/>
          <c:max val="40"/>
          <c:min val="-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Magnitude (dB)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272652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Gvd Phase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Gvd Phase</c:v>
          </c:tx>
          <c:marker>
            <c:symbol val="none"/>
          </c:marker>
          <c:xVal>
            <c:numRef>
              <c:f>Front!$B$127:$B$167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Front!$G$127:$G$167</c:f>
              <c:numCache>
                <c:formatCode>General</c:formatCode>
                <c:ptCount val="41"/>
                <c:pt idx="0">
                  <c:v>-0.15612068037719151</c:v>
                </c:pt>
                <c:pt idx="1">
                  <c:v>-0.19655068403850975</c:v>
                </c:pt>
                <c:pt idx="2">
                  <c:v>-0.24745540596308135</c:v>
                </c:pt>
                <c:pt idx="3">
                  <c:v>-0.31155335181476157</c:v>
                </c:pt>
                <c:pt idx="4">
                  <c:v>-0.392273227024801</c:v>
                </c:pt>
                <c:pt idx="5">
                  <c:v>-0.49394411531375548</c:v>
                </c:pt>
                <c:pt idx="6">
                  <c:v>-0.62204118104364137</c:v>
                </c:pt>
                <c:pt idx="7">
                  <c:v>-0.78350757125269033</c:v>
                </c:pt>
                <c:pt idx="8">
                  <c:v>-0.98718491897190941</c:v>
                </c:pt>
                <c:pt idx="9">
                  <c:v>-1.2444061774545143</c:v>
                </c:pt>
                <c:pt idx="10">
                  <c:v>-1.5698449590852914</c:v>
                </c:pt>
                <c:pt idx="11">
                  <c:v>-1.9827951810223532</c:v>
                </c:pt>
                <c:pt idx="12">
                  <c:v>-2.5092175413973221</c:v>
                </c:pt>
                <c:pt idx="13">
                  <c:v>-3.185236103215316</c:v>
                </c:pt>
                <c:pt idx="14">
                  <c:v>-4.0635468672975534</c:v>
                </c:pt>
                <c:pt idx="15">
                  <c:v>-5.2260732024978402</c:v>
                </c:pt>
                <c:pt idx="16">
                  <c:v>-6.8111420695196054</c:v>
                </c:pt>
                <c:pt idx="17">
                  <c:v>-9.0781665216400071</c:v>
                </c:pt>
                <c:pt idx="18">
                  <c:v>-12.584305368621289</c:v>
                </c:pt>
                <c:pt idx="19">
                  <c:v>-18.770873560819858</c:v>
                </c:pt>
                <c:pt idx="20">
                  <c:v>-32.520175477295048</c:v>
                </c:pt>
                <c:pt idx="21">
                  <c:v>-73.782340602159209</c:v>
                </c:pt>
                <c:pt idx="22">
                  <c:v>-133.4226664169922</c:v>
                </c:pt>
                <c:pt idx="23">
                  <c:v>-155.42252803080387</c:v>
                </c:pt>
                <c:pt idx="24">
                  <c:v>-163.85236947908299</c:v>
                </c:pt>
                <c:pt idx="25">
                  <c:v>-168.09602660321332</c:v>
                </c:pt>
                <c:pt idx="26">
                  <c:v>-170.5507603680509</c:v>
                </c:pt>
                <c:pt idx="27">
                  <c:v>-172.03585445015631</c:v>
                </c:pt>
                <c:pt idx="28">
                  <c:v>-172.89176276450385</c:v>
                </c:pt>
                <c:pt idx="29">
                  <c:v>-173.27471088481278</c:v>
                </c:pt>
                <c:pt idx="30">
                  <c:v>-173.25546349147868</c:v>
                </c:pt>
                <c:pt idx="31">
                  <c:v>-172.85761542138721</c:v>
                </c:pt>
                <c:pt idx="32">
                  <c:v>-172.07377157799789</c:v>
                </c:pt>
                <c:pt idx="33">
                  <c:v>-170.87275739021098</c:v>
                </c:pt>
                <c:pt idx="34">
                  <c:v>-169.20330094309136</c:v>
                </c:pt>
                <c:pt idx="35">
                  <c:v>-166.99722130632887</c:v>
                </c:pt>
                <c:pt idx="36">
                  <c:v>-164.17474528166866</c:v>
                </c:pt>
                <c:pt idx="37">
                  <c:v>-160.6550144714804</c:v>
                </c:pt>
                <c:pt idx="38">
                  <c:v>-156.37519272860834</c:v>
                </c:pt>
                <c:pt idx="39">
                  <c:v>-151.32009783411829</c:v>
                </c:pt>
                <c:pt idx="40">
                  <c:v>-145.55831676210201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74E-4EBC-BDD1-1171CEF0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655176"/>
        <c:axId val="272653216"/>
      </c:scatterChart>
      <c:valAx>
        <c:axId val="272655176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nextTo"/>
        <c:crossAx val="272653216"/>
        <c:crossesAt val="-180"/>
        <c:crossBetween val="midCat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272653216"/>
        <c:scaling>
          <c:orientation val="minMax"/>
          <c:max val="0"/>
          <c:min val="-1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Phase (deg)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2726551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Gvc Gain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2598382751615"/>
          <c:y val="0.18813203282304791"/>
          <c:w val="0.76968065640020289"/>
          <c:h val="0.59858786250102558"/>
        </c:manualLayout>
      </c:layout>
      <c:scatterChart>
        <c:scatterStyle val="smoothMarker"/>
        <c:varyColors val="0"/>
        <c:ser>
          <c:idx val="0"/>
          <c:order val="0"/>
          <c:tx>
            <c:v>Gvc Gain</c:v>
          </c:tx>
          <c:marker>
            <c:symbol val="none"/>
          </c:marker>
          <c:xVal>
            <c:numRef>
              <c:f>Front!$B$127:$B$167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Front!$I$127:$I$167</c:f>
              <c:numCache>
                <c:formatCode>General</c:formatCode>
                <c:ptCount val="41"/>
                <c:pt idx="0">
                  <c:v>31.084190776074099</c:v>
                </c:pt>
                <c:pt idx="1">
                  <c:v>29.08610194100206</c:v>
                </c:pt>
                <c:pt idx="2">
                  <c:v>27.08912951696977</c:v>
                </c:pt>
                <c:pt idx="3">
                  <c:v>25.093924348624391</c:v>
                </c:pt>
                <c:pt idx="4">
                  <c:v>23.101514739040461</c:v>
                </c:pt>
                <c:pt idx="5">
                  <c:v>21.113522401787968</c:v>
                </c:pt>
                <c:pt idx="6">
                  <c:v>19.132497556278352</c:v>
                </c:pt>
                <c:pt idx="7">
                  <c:v>17.162432377860377</c:v>
                </c:pt>
                <c:pt idx="8">
                  <c:v>15.209531842208788</c:v>
                </c:pt>
                <c:pt idx="9">
                  <c:v>13.283332931004699</c:v>
                </c:pt>
                <c:pt idx="10">
                  <c:v>11.398240749070641</c:v>
                </c:pt>
                <c:pt idx="11">
                  <c:v>9.5754368871796522</c:v>
                </c:pt>
                <c:pt idx="12">
                  <c:v>7.844821872578426</c:v>
                </c:pt>
                <c:pt idx="13">
                  <c:v>6.246117414997455</c:v>
                </c:pt>
                <c:pt idx="14">
                  <c:v>4.8276564040976382</c:v>
                </c:pt>
                <c:pt idx="15">
                  <c:v>3.6414746864383032</c:v>
                </c:pt>
                <c:pt idx="16">
                  <c:v>2.7351487449934191</c:v>
                </c:pt>
                <c:pt idx="17">
                  <c:v>2.1439730012687956</c:v>
                </c:pt>
                <c:pt idx="18">
                  <c:v>1.8880424085809633</c:v>
                </c:pt>
                <c:pt idx="19">
                  <c:v>1.9746846354813741</c:v>
                </c:pt>
                <c:pt idx="20">
                  <c:v>2.4013161255509328</c:v>
                </c:pt>
                <c:pt idx="21">
                  <c:v>3.1542729062851333</c:v>
                </c:pt>
                <c:pt idx="22">
                  <c:v>4.2053260124859744</c:v>
                </c:pt>
                <c:pt idx="23">
                  <c:v>5.5115346630067164</c:v>
                </c:pt>
                <c:pt idx="24">
                  <c:v>7.0209524591377406</c:v>
                </c:pt>
                <c:pt idx="25">
                  <c:v>8.6810322215246423</c:v>
                </c:pt>
                <c:pt idx="26">
                  <c:v>10.445062837901274</c:v>
                </c:pt>
                <c:pt idx="27">
                  <c:v>12.274603869032198</c:v>
                </c:pt>
                <c:pt idx="28">
                  <c:v>14.138588639389534</c:v>
                </c:pt>
                <c:pt idx="29">
                  <c:v>16.010597928132828</c:v>
                </c:pt>
                <c:pt idx="30">
                  <c:v>17.865434368990073</c:v>
                </c:pt>
                <c:pt idx="31">
                  <c:v>19.675621905097284</c:v>
                </c:pt>
                <c:pt idx="32">
                  <c:v>21.408329901911301</c:v>
                </c:pt>
                <c:pt idx="33">
                  <c:v>23.023558608945166</c:v>
                </c:pt>
                <c:pt idx="34">
                  <c:v>24.474957194351006</c:v>
                </c:pt>
                <c:pt idx="35">
                  <c:v>25.714563960692448</c:v>
                </c:pt>
                <c:pt idx="36">
                  <c:v>26.700912082760276</c:v>
                </c:pt>
                <c:pt idx="37">
                  <c:v>27.406588316759681</c:v>
                </c:pt>
                <c:pt idx="38">
                  <c:v>27.819898105585104</c:v>
                </c:pt>
                <c:pt idx="39">
                  <c:v>27.93919866638559</c:v>
                </c:pt>
                <c:pt idx="40">
                  <c:v>27.764902924914768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6D1-42E9-9A96-5F83BD554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719680"/>
        <c:axId val="340716936"/>
      </c:scatterChart>
      <c:valAx>
        <c:axId val="340719680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low"/>
        <c:crossAx val="340716936"/>
        <c:crosses val="autoZero"/>
        <c:crossBetween val="midCat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340716936"/>
        <c:scaling>
          <c:orientation val="minMax"/>
          <c:max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Magnitude (dB)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07196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Gvc Phase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Gvc Phase</c:v>
          </c:tx>
          <c:marker>
            <c:symbol val="none"/>
          </c:marker>
          <c:xVal>
            <c:numRef>
              <c:f>Front!$B$127:$B$167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Front!$J$127:$J$167</c:f>
              <c:numCache>
                <c:formatCode>General</c:formatCode>
                <c:ptCount val="41"/>
                <c:pt idx="0">
                  <c:v>-88.032611299496835</c:v>
                </c:pt>
                <c:pt idx="1">
                  <c:v>-87.52346186312748</c:v>
                </c:pt>
                <c:pt idx="2">
                  <c:v>-86.882736666262986</c:v>
                </c:pt>
                <c:pt idx="3">
                  <c:v>-86.076621494603188</c:v>
                </c:pt>
                <c:pt idx="4">
                  <c:v>-85.062798241452541</c:v>
                </c:pt>
                <c:pt idx="5">
                  <c:v>-83.788490254985888</c:v>
                </c:pt>
                <c:pt idx="6">
                  <c:v>-82.18824110952238</c:v>
                </c:pt>
                <c:pt idx="7">
                  <c:v>-80.181582432334054</c:v>
                </c:pt>
                <c:pt idx="8">
                  <c:v>-77.670981936953751</c:v>
                </c:pt>
                <c:pt idx="9">
                  <c:v>-74.540897403507898</c:v>
                </c:pt>
                <c:pt idx="10">
                  <c:v>-70.659482190917444</c:v>
                </c:pt>
                <c:pt idx="11">
                  <c:v>-65.88547758655433</c:v>
                </c:pt>
                <c:pt idx="12">
                  <c:v>-60.083670063690732</c:v>
                </c:pt>
                <c:pt idx="13">
                  <c:v>-53.151643784868952</c:v>
                </c:pt>
                <c:pt idx="14">
                  <c:v>-45.055990468556644</c:v>
                </c:pt>
                <c:pt idx="15">
                  <c:v>-35.866348431783358</c:v>
                </c:pt>
                <c:pt idx="16">
                  <c:v>-25.766508860558421</c:v>
                </c:pt>
                <c:pt idx="17">
                  <c:v>-15.028463469559386</c:v>
                </c:pt>
                <c:pt idx="18">
                  <c:v>-3.9635029790326675</c:v>
                </c:pt>
                <c:pt idx="19">
                  <c:v>7.1130945529120844</c:v>
                </c:pt>
                <c:pt idx="20">
                  <c:v>17.88491101681506</c:v>
                </c:pt>
                <c:pt idx="21">
                  <c:v>28.027555330633923</c:v>
                </c:pt>
                <c:pt idx="22">
                  <c:v>37.227306557679384</c:v>
                </c:pt>
                <c:pt idx="23">
                  <c:v>45.227093289639562</c:v>
                </c:pt>
                <c:pt idx="24">
                  <c:v>51.866374927721083</c:v>
                </c:pt>
                <c:pt idx="25">
                  <c:v>57.086336947211848</c:v>
                </c:pt>
                <c:pt idx="26">
                  <c:v>60.902537352321438</c:v>
                </c:pt>
                <c:pt idx="27">
                  <c:v>63.365601202081407</c:v>
                </c:pt>
                <c:pt idx="28">
                  <c:v>64.527352944208758</c:v>
                </c:pt>
                <c:pt idx="29">
                  <c:v>64.419290202674148</c:v>
                </c:pt>
                <c:pt idx="30">
                  <c:v>63.043741757722984</c:v>
                </c:pt>
                <c:pt idx="31">
                  <c:v>60.376750446358514</c:v>
                </c:pt>
                <c:pt idx="32">
                  <c:v>56.382864327189729</c:v>
                </c:pt>
                <c:pt idx="33">
                  <c:v>51.042347584291598</c:v>
                </c:pt>
                <c:pt idx="34">
                  <c:v>44.387603561858157</c:v>
                </c:pt>
                <c:pt idx="35">
                  <c:v>36.536226987550243</c:v>
                </c:pt>
                <c:pt idx="36">
                  <c:v>27.698715096143115</c:v>
                </c:pt>
                <c:pt idx="37">
                  <c:v>18.145010883591851</c:v>
                </c:pt>
                <c:pt idx="38">
                  <c:v>8.1438565624134238</c:v>
                </c:pt>
                <c:pt idx="39">
                  <c:v>-2.0822817986724567</c:v>
                </c:pt>
                <c:pt idx="40">
                  <c:v>-12.35318954347345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1A5-4298-A3C2-9AFBA2A63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720072"/>
        <c:axId val="340714976"/>
      </c:scatterChart>
      <c:valAx>
        <c:axId val="340720072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nextTo"/>
        <c:crossAx val="340714976"/>
        <c:crossesAt val="-100"/>
        <c:crossBetween val="midCat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340714976"/>
        <c:scaling>
          <c:orientation val="minMax"/>
          <c:max val="80"/>
          <c:min val="-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Phase</a:t>
                </a:r>
                <a:r>
                  <a:rPr lang="en-US" b="0" baseline="0">
                    <a:latin typeface="Times New Roman" pitchFamily="18" charset="0"/>
                    <a:cs typeface="Times New Roman" pitchFamily="18" charset="0"/>
                  </a:rPr>
                  <a:t> (deg)</a:t>
                </a:r>
                <a:endParaRPr lang="en-US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0720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System Loop Gain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557413074511538E-2"/>
          <c:y val="0.10045316545339283"/>
          <c:w val="0.86311290219379533"/>
          <c:h val="0.78523498410869752"/>
        </c:manualLayout>
      </c:layout>
      <c:scatterChart>
        <c:scatterStyle val="smoothMarker"/>
        <c:varyColors val="0"/>
        <c:ser>
          <c:idx val="0"/>
          <c:order val="0"/>
          <c:tx>
            <c:v>Actual Loop Gain</c:v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Front!$B$127:$B$167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Front!$L$127:$L$167</c:f>
              <c:numCache>
                <c:formatCode>0.00E+00</c:formatCode>
                <c:ptCount val="41"/>
                <c:pt idx="0">
                  <c:v>48.955544104382547</c:v>
                </c:pt>
                <c:pt idx="1">
                  <c:v>46.957724298506633</c:v>
                </c:pt>
                <c:pt idx="2">
                  <c:v>44.961178271476854</c:v>
                </c:pt>
                <c:pt idx="3">
                  <c:v>42.966648933164848</c:v>
                </c:pt>
                <c:pt idx="4">
                  <c:v>40.975310533258323</c:v>
                </c:pt>
                <c:pt idx="5">
                  <c:v>38.989016178200785</c:v>
                </c:pt>
                <c:pt idx="6">
                  <c:v>37.010683029165854</c:v>
                </c:pt>
                <c:pt idx="7">
                  <c:v>35.044885349761131</c:v>
                </c:pt>
                <c:pt idx="8">
                  <c:v>33.098751982883059</c:v>
                </c:pt>
                <c:pt idx="9">
                  <c:v>31.183287460989551</c:v>
                </c:pt>
                <c:pt idx="10">
                  <c:v>29.315231161136971</c:v>
                </c:pt>
                <c:pt idx="11">
                  <c:v>27.519485334927694</c:v>
                </c:pt>
                <c:pt idx="12">
                  <c:v>25.831900678040356</c:v>
                </c:pt>
                <c:pt idx="13">
                  <c:v>24.301764592980941</c:v>
                </c:pt>
                <c:pt idx="14">
                  <c:v>22.992915977053197</c:v>
                </c:pt>
                <c:pt idx="15">
                  <c:v>21.982855721730431</c:v>
                </c:pt>
                <c:pt idx="16">
                  <c:v>21.361842336017457</c:v>
                </c:pt>
                <c:pt idx="17">
                  <c:v>21.238995279874416</c:v>
                </c:pt>
                <c:pt idx="18">
                  <c:v>21.768185222590127</c:v>
                </c:pt>
                <c:pt idx="19">
                  <c:v>23.213608414359431</c:v>
                </c:pt>
                <c:pt idx="20">
                  <c:v>26.053350643998407</c:v>
                </c:pt>
                <c:pt idx="21">
                  <c:v>29.774078347168306</c:v>
                </c:pt>
                <c:pt idx="22">
                  <c:v>26.289765280300692</c:v>
                </c:pt>
                <c:pt idx="23">
                  <c:v>20.581728294468409</c:v>
                </c:pt>
                <c:pt idx="24">
                  <c:v>16.329316297259371</c:v>
                </c:pt>
                <c:pt idx="25">
                  <c:v>12.988306087792068</c:v>
                </c:pt>
                <c:pt idx="26">
                  <c:v>10.163667120834791</c:v>
                </c:pt>
                <c:pt idx="27">
                  <c:v>7.6387119735834812</c:v>
                </c:pt>
                <c:pt idx="28">
                  <c:v>5.2867996979485001</c:v>
                </c:pt>
                <c:pt idx="29">
                  <c:v>3.0277008235927654</c:v>
                </c:pt>
                <c:pt idx="30">
                  <c:v>0.80513984491039459</c:v>
                </c:pt>
                <c:pt idx="31">
                  <c:v>-1.4261630336002959</c:v>
                </c:pt>
                <c:pt idx="32">
                  <c:v>-3.7084648263353746</c:v>
                </c:pt>
                <c:pt idx="33">
                  <c:v>-6.0852901413431564</c:v>
                </c:pt>
                <c:pt idx="34">
                  <c:v>-8.6016325797571245</c:v>
                </c:pt>
                <c:pt idx="35">
                  <c:v>-11.299231801897982</c:v>
                </c:pt>
                <c:pt idx="36">
                  <c:v>-14.207737472063055</c:v>
                </c:pt>
                <c:pt idx="37">
                  <c:v>-17.335952294653396</c:v>
                </c:pt>
                <c:pt idx="38">
                  <c:v>-20.669059789788289</c:v>
                </c:pt>
                <c:pt idx="39">
                  <c:v>-24.17437916308414</c:v>
                </c:pt>
                <c:pt idx="40">
                  <c:v>-27.812280046442325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D92-449C-A24F-F8C79F8C7F79}"/>
            </c:ext>
          </c:extLst>
        </c:ser>
        <c:ser>
          <c:idx val="1"/>
          <c:order val="1"/>
          <c:tx>
            <c:v>Recommended Loop Gain</c:v>
          </c:tx>
          <c:spPr>
            <a:ln w="28575" cap="rnd" cmpd="sng" algn="ctr">
              <a:solidFill>
                <a:srgbClr val="33CCFF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Front!$B$127:$B$167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Front!$W$127:$W$167</c:f>
              <c:numCache>
                <c:formatCode>0.00E+00</c:formatCode>
                <c:ptCount val="41"/>
                <c:pt idx="0">
                  <c:v>49.050894329243533</c:v>
                </c:pt>
                <c:pt idx="1">
                  <c:v>47.052992145189577</c:v>
                </c:pt>
                <c:pt idx="2">
                  <c:v>45.0563157382052</c:v>
                </c:pt>
                <c:pt idx="3">
                  <c:v>43.06158021446975</c:v>
                </c:pt>
                <c:pt idx="4">
                  <c:v>41.069916166636887</c:v>
                </c:pt>
                <c:pt idx="5">
                  <c:v>39.083108528361365</c:v>
                </c:pt>
                <c:pt idx="6">
                  <c:v>37.103968942077053</c:v>
                </c:pt>
                <c:pt idx="7">
                  <c:v>35.136910661381506</c:v>
                </c:pt>
                <c:pt idx="8">
                  <c:v>33.188822505059214</c:v>
                </c:pt>
                <c:pt idx="9">
                  <c:v>31.270364845153139</c:v>
                </c:pt>
                <c:pt idx="10">
                  <c:v>29.39781586826021</c:v>
                </c:pt>
                <c:pt idx="11">
                  <c:v>27.595534236734132</c:v>
                </c:pt>
                <c:pt idx="12">
                  <c:v>25.898897588635855</c:v>
                </c:pt>
                <c:pt idx="13">
                  <c:v>24.357165347685065</c:v>
                </c:pt>
                <c:pt idx="14">
                  <c:v>23.035254492735369</c:v>
                </c:pt>
                <c:pt idx="15">
                  <c:v>22.013637290041594</c:v>
                </c:pt>
                <c:pt idx="16">
                  <c:v>21.38778549308098</c:v>
                </c:pt>
                <c:pt idx="17">
                  <c:v>21.273436036810807</c:v>
                </c:pt>
                <c:pt idx="18">
                  <c:v>21.830271438658126</c:v>
                </c:pt>
                <c:pt idx="19">
                  <c:v>23.324754640648923</c:v>
                </c:pt>
                <c:pt idx="20">
                  <c:v>26.231879617007856</c:v>
                </c:pt>
                <c:pt idx="21">
                  <c:v>30.030310209080415</c:v>
                </c:pt>
                <c:pt idx="22">
                  <c:v>26.624106315770977</c:v>
                </c:pt>
                <c:pt idx="23">
                  <c:v>20.986702671701615</c:v>
                </c:pt>
                <c:pt idx="24">
                  <c:v>16.794019866611755</c:v>
                </c:pt>
                <c:pt idx="25">
                  <c:v>13.502858335749792</c:v>
                </c:pt>
                <c:pt idx="26">
                  <c:v>10.722351697777155</c:v>
                </c:pt>
                <c:pt idx="27">
                  <c:v>8.2419727534214946</c:v>
                </c:pt>
                <c:pt idx="28">
                  <c:v>5.9429480976325504</c:v>
                </c:pt>
                <c:pt idx="29">
                  <c:v>3.7552033500679833</c:v>
                </c:pt>
                <c:pt idx="30">
                  <c:v>1.6361362289229895</c:v>
                </c:pt>
                <c:pt idx="31">
                  <c:v>-0.44074835417790748</c:v>
                </c:pt>
                <c:pt idx="32">
                  <c:v>-2.4923509905055958</c:v>
                </c:pt>
                <c:pt idx="33">
                  <c:v>-4.529921225441802</c:v>
                </c:pt>
                <c:pt idx="34">
                  <c:v>-6.5615914672175784</c:v>
                </c:pt>
                <c:pt idx="35">
                  <c:v>-8.5941547083280252</c:v>
                </c:pt>
                <c:pt idx="36">
                  <c:v>-10.634493521995438</c:v>
                </c:pt>
                <c:pt idx="37">
                  <c:v>-12.690938958602594</c:v>
                </c:pt>
                <c:pt idx="38">
                  <c:v>-14.774750679152504</c:v>
                </c:pt>
                <c:pt idx="39">
                  <c:v>-16.901797150333174</c:v>
                </c:pt>
                <c:pt idx="40">
                  <c:v>-19.094289673863962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CEF-4708-A50C-F3B082B5F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718112"/>
        <c:axId val="340716152"/>
      </c:scatterChart>
      <c:valAx>
        <c:axId val="340718112"/>
        <c:scaling>
          <c:logBase val="10"/>
          <c:orientation val="minMax"/>
          <c:max val="10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Frequency (kHz)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340716152"/>
        <c:crossesAt val="-40"/>
        <c:crossBetween val="midCat"/>
        <c:dispUnits>
          <c:builtInUnit val="thousands"/>
        </c:dispUnits>
      </c:valAx>
      <c:valAx>
        <c:axId val="340716152"/>
        <c:scaling>
          <c:orientation val="minMax"/>
          <c:max val="6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Magnitude (dB)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340718112"/>
        <c:crosses val="autoZero"/>
        <c:crossBetween val="midCat"/>
      </c:valAx>
      <c:spPr>
        <a:solidFill>
          <a:schemeClr val="bg1"/>
        </a:solidFill>
        <a:ln w="254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2839338611366999"/>
          <c:y val="0.11933201940897482"/>
          <c:w val="0.20728731634511371"/>
          <c:h val="7.624850759857274E-2"/>
        </c:manualLayout>
      </c:layout>
      <c:overlay val="0"/>
      <c:spPr>
        <a:solidFill>
          <a:schemeClr val="bg1"/>
        </a:solidFill>
        <a:ln w="12700">
          <a:solidFill>
            <a:srgbClr val="33CC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System Loop Phase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85804227582662E-2"/>
          <c:y val="0.10049378808446074"/>
          <c:w val="0.85219821228144665"/>
          <c:h val="0.78514813448113763"/>
        </c:manualLayout>
      </c:layout>
      <c:scatterChart>
        <c:scatterStyle val="smoothMarker"/>
        <c:varyColors val="0"/>
        <c:ser>
          <c:idx val="0"/>
          <c:order val="0"/>
          <c:tx>
            <c:v>Actual Loop Phase</c:v>
          </c:tx>
          <c:marker>
            <c:symbol val="none"/>
          </c:marker>
          <c:xVal>
            <c:numRef>
              <c:f>Front!$B$127:$B$167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Front!$M$127:$M$167</c:f>
              <c:numCache>
                <c:formatCode>General</c:formatCode>
                <c:ptCount val="41"/>
                <c:pt idx="0">
                  <c:v>91.811268020125993</c:v>
                </c:pt>
                <c:pt idx="1">
                  <c:v>92.279987452833993</c:v>
                </c:pt>
                <c:pt idx="2">
                  <c:v>92.869807927773948</c:v>
                </c:pt>
                <c:pt idx="3">
                  <c:v>93.611825153582046</c:v>
                </c:pt>
                <c:pt idx="4">
                  <c:v>94.544928531522643</c:v>
                </c:pt>
                <c:pt idx="5">
                  <c:v>95.71756562970036</c:v>
                </c:pt>
                <c:pt idx="6">
                  <c:v>97.189717709433978</c:v>
                </c:pt>
                <c:pt idx="7">
                  <c:v>99.034909996413262</c:v>
                </c:pt>
                <c:pt idx="8">
                  <c:v>101.34183314407434</c:v>
                </c:pt>
                <c:pt idx="9">
                  <c:v>104.21469641903759</c:v>
                </c:pt>
                <c:pt idx="10">
                  <c:v>107.77067284999725</c:v>
                </c:pt>
                <c:pt idx="11">
                  <c:v>112.13172723242334</c:v>
                </c:pt>
                <c:pt idx="12">
                  <c:v>117.40711239491196</c:v>
                </c:pt>
                <c:pt idx="13">
                  <c:v>123.66312011191579</c:v>
                </c:pt>
                <c:pt idx="14">
                  <c:v>130.8804626641458</c:v>
                </c:pt>
                <c:pt idx="15">
                  <c:v>138.90757836571879</c:v>
                </c:pt>
                <c:pt idx="16">
                  <c:v>147.42234906992198</c:v>
                </c:pt>
                <c:pt idx="17">
                  <c:v>155.89337000880056</c:v>
                </c:pt>
                <c:pt idx="18">
                  <c:v>163.45219165234607</c:v>
                </c:pt>
                <c:pt idx="19">
                  <c:v>168.34222099209219</c:v>
                </c:pt>
                <c:pt idx="20">
                  <c:v>165.36473553952004</c:v>
                </c:pt>
                <c:pt idx="21">
                  <c:v>134.24521472847479</c:v>
                </c:pt>
                <c:pt idx="22">
                  <c:v>83.804640140687198</c:v>
                </c:pt>
                <c:pt idx="23">
                  <c:v>69.804565258835652</c:v>
                </c:pt>
                <c:pt idx="24">
                  <c:v>68.014005448638073</c:v>
                </c:pt>
                <c:pt idx="25">
                  <c:v>68.99031034399853</c:v>
                </c:pt>
                <c:pt idx="26">
                  <c:v>70.3517769842706</c:v>
                </c:pt>
                <c:pt idx="27">
                  <c:v>71.329746751925114</c:v>
                </c:pt>
                <c:pt idx="28">
                  <c:v>71.63559017970492</c:v>
                </c:pt>
                <c:pt idx="29">
                  <c:v>71.1445793178614</c:v>
                </c:pt>
                <c:pt idx="30">
                  <c:v>69.78827826624422</c:v>
                </c:pt>
                <c:pt idx="31">
                  <c:v>67.519135024971305</c:v>
                </c:pt>
                <c:pt idx="32">
                  <c:v>64.309092749191834</c:v>
                </c:pt>
                <c:pt idx="33">
                  <c:v>60.169590194080598</c:v>
                </c:pt>
                <c:pt idx="34">
                  <c:v>55.184302618766694</c:v>
                </c:pt>
                <c:pt idx="35">
                  <c:v>49.539005681221312</c:v>
                </c:pt>
                <c:pt idx="36">
                  <c:v>43.523969814474299</c:v>
                </c:pt>
                <c:pt idx="37">
                  <c:v>37.489996412111338</c:v>
                </c:pt>
                <c:pt idx="38">
                  <c:v>31.768663833805078</c:v>
                </c:pt>
                <c:pt idx="39">
                  <c:v>26.597620367209259</c:v>
                </c:pt>
                <c:pt idx="40">
                  <c:v>22.088493694424557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394-40D9-A223-3E4DBFA3085E}"/>
            </c:ext>
          </c:extLst>
        </c:ser>
        <c:ser>
          <c:idx val="1"/>
          <c:order val="1"/>
          <c:tx>
            <c:v>Recommended Loop Phase</c:v>
          </c:tx>
          <c:spPr>
            <a:ln>
              <a:solidFill>
                <a:srgbClr val="33CCFF"/>
              </a:solidFill>
              <a:prstDash val="sysDash"/>
            </a:ln>
          </c:spPr>
          <c:marker>
            <c:symbol val="none"/>
          </c:marker>
          <c:xVal>
            <c:numRef>
              <c:f>Front!$B$127:$B$167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Front!$X$127:$X$167</c:f>
              <c:numCache>
                <c:formatCode>General</c:formatCode>
                <c:ptCount val="41"/>
                <c:pt idx="0">
                  <c:v>91.817588769440675</c:v>
                </c:pt>
                <c:pt idx="1">
                  <c:v>92.28796749175271</c:v>
                </c:pt>
                <c:pt idx="2">
                  <c:v>92.879899418422212</c:v>
                </c:pt>
                <c:pt idx="3">
                  <c:v>93.624619650510766</c:v>
                </c:pt>
                <c:pt idx="4">
                  <c:v>94.561215054296241</c:v>
                </c:pt>
                <c:pt idx="5">
                  <c:v>95.738425155578824</c:v>
                </c:pt>
                <c:pt idx="6">
                  <c:v>97.216683752945812</c:v>
                </c:pt>
                <c:pt idx="7">
                  <c:v>99.070250580552127</c:v>
                </c:pt>
                <c:pt idx="8">
                  <c:v>101.38905518742541</c:v>
                </c:pt>
                <c:pt idx="9">
                  <c:v>104.27944947611164</c:v>
                </c:pt>
                <c:pt idx="10">
                  <c:v>107.86233850787067</c:v>
                </c:pt>
                <c:pt idx="11">
                  <c:v>112.26609032839762</c:v>
                </c:pt>
                <c:pt idx="12">
                  <c:v>117.61048317203301</c:v>
                </c:pt>
                <c:pt idx="13">
                  <c:v>123.97778084761691</c:v>
                </c:pt>
                <c:pt idx="14">
                  <c:v>131.36989294001418</c:v>
                </c:pt>
                <c:pt idx="15">
                  <c:v>139.65765054332152</c:v>
                </c:pt>
                <c:pt idx="16">
                  <c:v>148.53340249341866</c:v>
                </c:pt>
                <c:pt idx="17">
                  <c:v>157.46092951857833</c:v>
                </c:pt>
                <c:pt idx="18">
                  <c:v>165.54141827271084</c:v>
                </c:pt>
                <c:pt idx="19">
                  <c:v>170.96790221310169</c:v>
                </c:pt>
                <c:pt idx="20">
                  <c:v>168.4895064551369</c:v>
                </c:pt>
                <c:pt idx="21">
                  <c:v>137.80213055993528</c:v>
                </c:pt>
                <c:pt idx="22">
                  <c:v>87.737111723751084</c:v>
                </c:pt>
                <c:pt idx="23">
                  <c:v>74.105319569889232</c:v>
                </c:pt>
                <c:pt idx="24">
                  <c:v>72.747369493591307</c:v>
                </c:pt>
                <c:pt idx="25">
                  <c:v>74.296351095881363</c:v>
                </c:pt>
                <c:pt idx="26">
                  <c:v>76.441382086434999</c:v>
                </c:pt>
                <c:pt idx="27">
                  <c:v>78.479798254402311</c:v>
                </c:pt>
                <c:pt idx="28">
                  <c:v>80.188184617700585</c:v>
                </c:pt>
                <c:pt idx="29">
                  <c:v>81.509497003177302</c:v>
                </c:pt>
                <c:pt idx="30">
                  <c:v>82.444787244238526</c:v>
                </c:pt>
                <c:pt idx="31">
                  <c:v>83.010618439181272</c:v>
                </c:pt>
                <c:pt idx="32">
                  <c:v>83.221155340805012</c:v>
                </c:pt>
                <c:pt idx="33">
                  <c:v>83.080324211415174</c:v>
                </c:pt>
                <c:pt idx="34">
                  <c:v>82.578198823333679</c:v>
                </c:pt>
                <c:pt idx="35">
                  <c:v>81.6891848761002</c:v>
                </c:pt>
                <c:pt idx="36">
                  <c:v>80.371140120523805</c:v>
                </c:pt>
                <c:pt idx="37">
                  <c:v>78.565500074818544</c:v>
                </c:pt>
                <c:pt idx="38">
                  <c:v>76.199301857733971</c:v>
                </c:pt>
                <c:pt idx="39">
                  <c:v>73.190944949145546</c:v>
                </c:pt>
                <c:pt idx="40">
                  <c:v>69.462512712000446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8B5-4EDE-A8AC-DD68E5EBE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718504"/>
        <c:axId val="340722424"/>
      </c:scatterChart>
      <c:valAx>
        <c:axId val="340718504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Frequency (kHz)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40722424"/>
        <c:crossesAt val="-180"/>
        <c:crossBetween val="midCat"/>
        <c:dispUnits>
          <c:builtInUnit val="thousands"/>
        </c:dispUnits>
      </c:valAx>
      <c:valAx>
        <c:axId val="340722424"/>
        <c:scaling>
          <c:orientation val="minMax"/>
          <c:max val="18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Phase (deg)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0718504"/>
        <c:crosses val="autoZero"/>
        <c:crossBetween val="midCat"/>
      </c:valAx>
      <c:spPr>
        <a:noFill/>
        <a:ln w="25400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2304011545901925"/>
          <c:y val="0.119703269280433"/>
          <c:w val="0.21367006284794191"/>
          <c:h val="7.5905523351575313E-2"/>
        </c:manualLayout>
      </c:layout>
      <c:overlay val="0"/>
      <c:spPr>
        <a:solidFill>
          <a:schemeClr val="bg1"/>
        </a:solidFill>
        <a:ln w="12700">
          <a:solidFill>
            <a:srgbClr val="33CCFF"/>
          </a:solidFill>
        </a:ln>
      </c:spPr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22417</xdr:colOff>
      <xdr:row>125</xdr:row>
      <xdr:rowOff>43142</xdr:rowOff>
    </xdr:from>
    <xdr:to>
      <xdr:col>21</xdr:col>
      <xdr:colOff>358594</xdr:colOff>
      <xdr:row>139</xdr:row>
      <xdr:rowOff>108137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22411</xdr:colOff>
      <xdr:row>139</xdr:row>
      <xdr:rowOff>114299</xdr:rowOff>
    </xdr:from>
    <xdr:to>
      <xdr:col>21</xdr:col>
      <xdr:colOff>358588</xdr:colOff>
      <xdr:row>153</xdr:row>
      <xdr:rowOff>190499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353417</xdr:colOff>
      <xdr:row>125</xdr:row>
      <xdr:rowOff>44825</xdr:rowOff>
    </xdr:from>
    <xdr:to>
      <xdr:col>28</xdr:col>
      <xdr:colOff>476681</xdr:colOff>
      <xdr:row>139</xdr:row>
      <xdr:rowOff>109819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359019</xdr:colOff>
      <xdr:row>139</xdr:row>
      <xdr:rowOff>116497</xdr:rowOff>
    </xdr:from>
    <xdr:to>
      <xdr:col>28</xdr:col>
      <xdr:colOff>482283</xdr:colOff>
      <xdr:row>154</xdr:row>
      <xdr:rowOff>2197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144156</xdr:colOff>
      <xdr:row>125</xdr:row>
      <xdr:rowOff>32658</xdr:rowOff>
    </xdr:from>
    <xdr:to>
      <xdr:col>13</xdr:col>
      <xdr:colOff>22412</xdr:colOff>
      <xdr:row>154</xdr:row>
      <xdr:rowOff>145678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141917</xdr:colOff>
      <xdr:row>154</xdr:row>
      <xdr:rowOff>150396</xdr:rowOff>
    </xdr:from>
    <xdr:to>
      <xdr:col>13</xdr:col>
      <xdr:colOff>22412</xdr:colOff>
      <xdr:row>184</xdr:row>
      <xdr:rowOff>89646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22413</xdr:colOff>
      <xdr:row>0</xdr:row>
      <xdr:rowOff>33617</xdr:rowOff>
    </xdr:from>
    <xdr:to>
      <xdr:col>1</xdr:col>
      <xdr:colOff>677397</xdr:colOff>
      <xdr:row>5</xdr:row>
      <xdr:rowOff>605117</xdr:rowOff>
    </xdr:to>
    <xdr:pic>
      <xdr:nvPicPr>
        <xdr:cNvPr id="16" name="Picture 15" descr="on_logo_jpg.bmp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2413" y="33617"/>
          <a:ext cx="1524000" cy="1524000"/>
        </a:xfrm>
        <a:prstGeom prst="rect">
          <a:avLst/>
        </a:prstGeom>
      </xdr:spPr>
    </xdr:pic>
    <xdr:clientData/>
  </xdr:twoCellAnchor>
  <xdr:twoCellAnchor>
    <xdr:from>
      <xdr:col>2</xdr:col>
      <xdr:colOff>392206</xdr:colOff>
      <xdr:row>0</xdr:row>
      <xdr:rowOff>0</xdr:rowOff>
    </xdr:from>
    <xdr:to>
      <xdr:col>12</xdr:col>
      <xdr:colOff>11206</xdr:colOff>
      <xdr:row>6</xdr:row>
      <xdr:rowOff>0</xdr:rowOff>
    </xdr:to>
    <xdr:sp macro="" textlink="">
      <xdr:nvSpPr>
        <xdr:cNvPr id="17" name="TextBox 16"/>
        <xdr:cNvSpPr txBox="1"/>
      </xdr:nvSpPr>
      <xdr:spPr>
        <a:xfrm>
          <a:off x="1613647" y="0"/>
          <a:ext cx="5423647" cy="1748118"/>
        </a:xfrm>
        <a:prstGeom prst="rect">
          <a:avLst/>
        </a:prstGeom>
        <a:solidFill>
          <a:srgbClr val="00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2400" b="1">
              <a:latin typeface="Times New Roman" pitchFamily="18" charset="0"/>
              <a:cs typeface="Times New Roman" pitchFamily="18" charset="0"/>
            </a:rPr>
            <a:t>NCP3237 Design Aid Version 1.2</a:t>
          </a:r>
        </a:p>
      </xdr:txBody>
    </xdr:sp>
    <xdr:clientData/>
  </xdr:twoCellAnchor>
  <xdr:twoCellAnchor editAs="oneCell">
    <xdr:from>
      <xdr:col>0</xdr:col>
      <xdr:colOff>112059</xdr:colOff>
      <xdr:row>90</xdr:row>
      <xdr:rowOff>56030</xdr:rowOff>
    </xdr:from>
    <xdr:to>
      <xdr:col>4</xdr:col>
      <xdr:colOff>85165</xdr:colOff>
      <xdr:row>108</xdr:row>
      <xdr:rowOff>124191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9106030"/>
          <a:ext cx="3177988" cy="3508367"/>
        </a:xfrm>
        <a:prstGeom prst="rect">
          <a:avLst/>
        </a:prstGeom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183"/>
  <sheetViews>
    <sheetView tabSelected="1" topLeftCell="A50" zoomScale="80" zoomScaleNormal="80" workbookViewId="0">
      <selection activeCell="H88" sqref="H88"/>
    </sheetView>
  </sheetViews>
  <sheetFormatPr defaultRowHeight="15"/>
  <cols>
    <col min="1" max="1" width="13.140625" customWidth="1"/>
    <col min="2" max="2" width="14.140625" customWidth="1"/>
    <col min="3" max="3" width="9.85546875" customWidth="1"/>
    <col min="4" max="4" width="10.85546875" customWidth="1"/>
    <col min="5" max="5" width="10.28515625" customWidth="1"/>
    <col min="6" max="6" width="10.140625" customWidth="1"/>
    <col min="9" max="9" width="9.7109375" customWidth="1"/>
    <col min="11" max="11" width="9.140625" style="10"/>
    <col min="12" max="12" width="9.28515625" bestFit="1" customWidth="1"/>
    <col min="19" max="19" width="9.7109375" bestFit="1" customWidth="1"/>
    <col min="23" max="23" width="12.28515625" bestFit="1" customWidth="1"/>
  </cols>
  <sheetData>
    <row r="2" spans="1:19" ht="1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11"/>
      <c r="S2" s="47"/>
    </row>
    <row r="3" spans="1:19">
      <c r="A3" s="85"/>
      <c r="B3" s="85"/>
      <c r="C3" s="85"/>
      <c r="D3" s="85"/>
      <c r="E3" s="85"/>
      <c r="F3" s="85"/>
      <c r="G3" s="85"/>
      <c r="H3" s="85"/>
      <c r="I3" s="85"/>
      <c r="J3" s="85"/>
      <c r="K3" s="11"/>
      <c r="S3" s="47"/>
    </row>
    <row r="4" spans="1:19">
      <c r="A4" s="86"/>
      <c r="B4" s="86"/>
      <c r="C4" s="86"/>
      <c r="D4" s="86"/>
      <c r="E4" s="86"/>
      <c r="F4" s="86"/>
      <c r="G4" s="86"/>
      <c r="H4" s="86"/>
      <c r="I4" s="86"/>
      <c r="J4" s="86"/>
      <c r="S4" s="47"/>
    </row>
    <row r="6" spans="1:19" ht="63" customHeight="1">
      <c r="M6" s="12"/>
    </row>
    <row r="7" spans="1:19" ht="15.75">
      <c r="B7" s="7"/>
      <c r="C7" s="4" t="s">
        <v>1</v>
      </c>
      <c r="D7" s="4"/>
    </row>
    <row r="8" spans="1:19" ht="15.75">
      <c r="B8" s="1"/>
      <c r="C8" s="4" t="s">
        <v>0</v>
      </c>
      <c r="D8" s="4"/>
    </row>
    <row r="9" spans="1:19" ht="15.75">
      <c r="B9" s="2"/>
      <c r="C9" s="4" t="s">
        <v>22</v>
      </c>
      <c r="D9" s="4"/>
    </row>
    <row r="10" spans="1:19" s="45" customFormat="1" ht="15.75">
      <c r="B10" s="56"/>
      <c r="C10" s="4" t="s">
        <v>93</v>
      </c>
      <c r="D10" s="4"/>
    </row>
    <row r="11" spans="1:19" s="20" customFormat="1" ht="15.75">
      <c r="B11" s="4"/>
      <c r="C11" s="4"/>
      <c r="D11" s="4"/>
      <c r="S11" s="44"/>
    </row>
    <row r="12" spans="1:19" s="20" customFormat="1" ht="15" customHeight="1">
      <c r="A12" s="83" t="s">
        <v>29</v>
      </c>
      <c r="B12" s="84"/>
      <c r="C12" s="84"/>
      <c r="D12" s="84"/>
      <c r="E12" s="84"/>
      <c r="F12" s="84"/>
      <c r="G12" s="84"/>
      <c r="H12" s="84"/>
      <c r="I12" s="84"/>
      <c r="J12" s="84"/>
      <c r="K12" s="19"/>
    </row>
    <row r="13" spans="1:19" s="20" customFormat="1" ht="18.75" customHeight="1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19"/>
    </row>
    <row r="14" spans="1:19" s="20" customFormat="1" ht="15" customHeight="1">
      <c r="A14" s="83"/>
      <c r="B14" s="84"/>
      <c r="C14" s="84"/>
      <c r="D14" s="84"/>
      <c r="E14" s="84"/>
      <c r="F14" s="84"/>
      <c r="G14" s="84"/>
      <c r="H14" s="84"/>
      <c r="I14" s="84"/>
      <c r="J14" s="84"/>
      <c r="K14" s="19"/>
    </row>
    <row r="15" spans="1:19" ht="15.75">
      <c r="A15" s="4" t="s">
        <v>2</v>
      </c>
      <c r="B15" s="4"/>
      <c r="C15" s="4"/>
      <c r="D15" s="1">
        <v>12</v>
      </c>
      <c r="E15" s="8" t="s">
        <v>5</v>
      </c>
    </row>
    <row r="16" spans="1:19" s="16" customFormat="1" ht="15.75">
      <c r="A16" s="4" t="s">
        <v>27</v>
      </c>
      <c r="B16" s="4"/>
      <c r="C16" s="18"/>
      <c r="D16" s="1">
        <v>3</v>
      </c>
      <c r="E16" s="28" t="s">
        <v>26</v>
      </c>
      <c r="F16" s="4" t="s">
        <v>87</v>
      </c>
      <c r="H16" s="35"/>
      <c r="I16" s="35"/>
      <c r="J16" s="35"/>
      <c r="K16" s="35"/>
      <c r="S16" s="44"/>
    </row>
    <row r="17" spans="1:20" s="20" customFormat="1" ht="15.75">
      <c r="A17" s="4"/>
      <c r="B17" s="4"/>
      <c r="C17" s="18"/>
      <c r="D17" s="35"/>
      <c r="E17" s="17"/>
      <c r="F17" s="37"/>
      <c r="H17" s="35"/>
      <c r="I17" s="35"/>
      <c r="J17" s="35"/>
      <c r="K17" s="35"/>
    </row>
    <row r="18" spans="1:20" ht="15.75">
      <c r="A18" s="4" t="s">
        <v>114</v>
      </c>
      <c r="B18" s="4"/>
      <c r="C18" s="4"/>
      <c r="D18" s="1">
        <v>1.8</v>
      </c>
      <c r="E18" s="8" t="s">
        <v>5</v>
      </c>
      <c r="F18" s="37"/>
      <c r="H18" s="35"/>
      <c r="I18" s="35"/>
      <c r="J18" s="35"/>
      <c r="K18" s="35"/>
      <c r="S18" s="44"/>
    </row>
    <row r="19" spans="1:20" s="16" customFormat="1" ht="15.75">
      <c r="A19" s="4" t="s">
        <v>28</v>
      </c>
      <c r="B19" s="4"/>
      <c r="C19" s="18"/>
      <c r="D19" s="1">
        <v>1</v>
      </c>
      <c r="E19" s="28" t="s">
        <v>26</v>
      </c>
      <c r="F19" s="4" t="s">
        <v>88</v>
      </c>
      <c r="H19" s="35"/>
      <c r="I19" s="35"/>
      <c r="J19" s="35"/>
      <c r="K19" s="35"/>
      <c r="S19" s="44"/>
    </row>
    <row r="20" spans="1:20" s="20" customFormat="1" ht="15.75">
      <c r="A20" s="23" t="s">
        <v>36</v>
      </c>
      <c r="B20" s="4"/>
      <c r="C20" s="18"/>
      <c r="D20" s="1">
        <v>5</v>
      </c>
      <c r="E20" s="28" t="s">
        <v>26</v>
      </c>
      <c r="F20" s="4" t="s">
        <v>110</v>
      </c>
      <c r="H20" s="35"/>
      <c r="I20" s="35"/>
      <c r="J20" s="35"/>
      <c r="K20" s="35"/>
      <c r="S20" s="57"/>
    </row>
    <row r="21" spans="1:20" s="35" customFormat="1" ht="15.75">
      <c r="A21" s="23"/>
      <c r="B21" s="4"/>
      <c r="C21" s="18"/>
      <c r="E21" s="28"/>
      <c r="F21" s="36"/>
    </row>
    <row r="22" spans="1:20" ht="15.75">
      <c r="A22" s="4" t="s">
        <v>33</v>
      </c>
      <c r="B22" s="4"/>
      <c r="C22" s="4"/>
      <c r="D22" s="1">
        <v>8</v>
      </c>
      <c r="E22" s="8" t="s">
        <v>6</v>
      </c>
    </row>
    <row r="23" spans="1:20" ht="15.75">
      <c r="A23" s="4" t="s">
        <v>32</v>
      </c>
      <c r="D23" s="1">
        <v>10</v>
      </c>
      <c r="E23" s="8" t="s">
        <v>30</v>
      </c>
      <c r="S23" s="48" t="s">
        <v>131</v>
      </c>
    </row>
    <row r="24" spans="1:20" ht="15.75">
      <c r="A24" s="4" t="s">
        <v>31</v>
      </c>
      <c r="D24" s="27">
        <v>0.5</v>
      </c>
      <c r="E24" s="32"/>
      <c r="F24" s="4" t="s">
        <v>78</v>
      </c>
      <c r="T24" s="48" t="s">
        <v>130</v>
      </c>
    </row>
    <row r="25" spans="1:20" s="20" customFormat="1" ht="15.75">
      <c r="A25" s="4"/>
      <c r="F25" s="22"/>
    </row>
    <row r="26" spans="1:20" ht="15.75">
      <c r="A26" s="4" t="s">
        <v>43</v>
      </c>
      <c r="B26" s="4"/>
      <c r="C26" s="4"/>
      <c r="D26" s="1">
        <v>550</v>
      </c>
      <c r="E26" s="8" t="s">
        <v>34</v>
      </c>
      <c r="F26" s="4"/>
      <c r="R26" s="3"/>
      <c r="S26" s="44"/>
    </row>
    <row r="27" spans="1:20" s="65" customFormat="1" ht="15.75">
      <c r="A27" s="4" t="s">
        <v>115</v>
      </c>
      <c r="B27" s="4"/>
      <c r="C27" s="4"/>
      <c r="D27" s="71">
        <f>22000/D26</f>
        <v>40</v>
      </c>
      <c r="E27" s="4" t="s">
        <v>116</v>
      </c>
      <c r="F27" s="4"/>
    </row>
    <row r="28" spans="1:20" ht="15" customHeight="1">
      <c r="A28" s="83" t="s">
        <v>8</v>
      </c>
      <c r="B28" s="84"/>
      <c r="C28" s="84"/>
      <c r="D28" s="84"/>
      <c r="E28" s="84"/>
      <c r="F28" s="84"/>
      <c r="G28" s="84"/>
      <c r="H28" s="84"/>
      <c r="I28" s="84"/>
      <c r="J28" s="84"/>
      <c r="K28" s="9"/>
      <c r="S28" s="48"/>
    </row>
    <row r="29" spans="1:20" ht="18.75" customHeight="1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9"/>
    </row>
    <row r="30" spans="1:20" ht="15" customHeight="1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9"/>
    </row>
    <row r="31" spans="1:20" s="35" customFormat="1" ht="26.25" customHeight="1">
      <c r="A31" s="87" t="s">
        <v>70</v>
      </c>
      <c r="B31" s="87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20" ht="15.75">
      <c r="A32" s="4" t="s">
        <v>3</v>
      </c>
      <c r="B32" s="4"/>
      <c r="C32" s="4"/>
      <c r="D32" s="30">
        <f>D18*(1-D18/D15/(1+D16/100))/(D22*0.25*D26*1000)*1000000</f>
        <v>1.3980582524271845</v>
      </c>
      <c r="E32" s="8" t="s">
        <v>62</v>
      </c>
      <c r="F32" s="4" t="s">
        <v>113</v>
      </c>
      <c r="G32" s="35"/>
      <c r="H32" s="35"/>
      <c r="I32" s="35"/>
      <c r="J32" s="35"/>
      <c r="K32" s="35"/>
      <c r="L32" s="35"/>
      <c r="S32" s="44"/>
    </row>
    <row r="33" spans="1:38" s="16" customFormat="1" ht="15.75">
      <c r="A33" s="4" t="s">
        <v>72</v>
      </c>
      <c r="B33" s="4"/>
      <c r="C33" s="4"/>
      <c r="D33" s="29">
        <v>1</v>
      </c>
      <c r="E33" s="28" t="s">
        <v>62</v>
      </c>
      <c r="F33" s="38"/>
      <c r="G33" s="35"/>
      <c r="H33" s="35"/>
      <c r="I33" s="35"/>
      <c r="J33" s="35"/>
      <c r="K33" s="35"/>
      <c r="L33" s="35"/>
      <c r="N33" s="66"/>
    </row>
    <row r="34" spans="1:38" ht="15.75">
      <c r="A34" s="4" t="s">
        <v>4</v>
      </c>
      <c r="B34" s="4"/>
      <c r="C34" s="4"/>
      <c r="D34" s="1">
        <v>5</v>
      </c>
      <c r="E34" s="8" t="s">
        <v>64</v>
      </c>
      <c r="G34" s="35"/>
      <c r="H34" s="35"/>
      <c r="I34" s="35"/>
      <c r="J34" s="35"/>
      <c r="K34" s="35"/>
      <c r="L34" s="35"/>
    </row>
    <row r="35" spans="1:38" ht="15.75">
      <c r="A35" s="4" t="s">
        <v>9</v>
      </c>
      <c r="B35" s="4"/>
      <c r="C35" s="4"/>
      <c r="D35" s="31">
        <f>($D$15-$D$18)*$D$18/$D$15/$D$26/$D$33*1000</f>
        <v>2.7818181818181817</v>
      </c>
      <c r="E35" s="4" t="s">
        <v>6</v>
      </c>
      <c r="F35" s="4"/>
      <c r="G35" s="4"/>
      <c r="H35" s="35"/>
      <c r="I35" s="35"/>
      <c r="J35" s="35"/>
      <c r="K35" s="35"/>
      <c r="L35" s="35"/>
    </row>
    <row r="36" spans="1:38" s="13" customFormat="1" ht="15.75">
      <c r="A36" s="4" t="s">
        <v>25</v>
      </c>
      <c r="B36" s="4"/>
      <c r="C36" s="4"/>
      <c r="D36" s="31">
        <f>$D$35/$D$22*100</f>
        <v>34.772727272727273</v>
      </c>
      <c r="E36" s="4" t="s">
        <v>26</v>
      </c>
      <c r="F36" s="4" t="s">
        <v>89</v>
      </c>
      <c r="G36" s="4"/>
      <c r="H36" s="35"/>
      <c r="I36" s="35"/>
      <c r="J36" s="35"/>
      <c r="K36" s="35"/>
      <c r="L36" s="35"/>
      <c r="S36" s="44"/>
    </row>
    <row r="37" spans="1:38" s="20" customFormat="1" ht="24.75" customHeight="1">
      <c r="A37" s="87" t="s">
        <v>71</v>
      </c>
      <c r="B37" s="87"/>
      <c r="C37" s="4"/>
      <c r="D37" s="4"/>
      <c r="E37" s="4"/>
      <c r="F37" s="4"/>
      <c r="G37" s="4"/>
    </row>
    <row r="38" spans="1:38" s="20" customFormat="1" ht="15.75">
      <c r="A38" s="58" t="s">
        <v>95</v>
      </c>
      <c r="B38" s="4"/>
      <c r="C38" s="4"/>
      <c r="D38" s="30">
        <f>D22*(1-D18/D15/(1-D16/100))*D18/D15/(1-D16/100)/(D26*1000*(D15*D16/100-0.001*D40/D42*D22*(1+0.5*D36/100)))*1000000</f>
        <v>5.3658380709525515</v>
      </c>
      <c r="E38" s="8" t="s">
        <v>63</v>
      </c>
      <c r="F38" s="4"/>
      <c r="G38" s="4"/>
      <c r="S38" s="44"/>
    </row>
    <row r="39" spans="1:38" s="20" customFormat="1" ht="15.75">
      <c r="A39" s="58" t="s">
        <v>96</v>
      </c>
      <c r="B39" s="4"/>
      <c r="C39" s="4"/>
      <c r="D39" s="29">
        <v>3.8</v>
      </c>
      <c r="E39" s="8" t="s">
        <v>63</v>
      </c>
      <c r="F39" s="4" t="s">
        <v>77</v>
      </c>
      <c r="G39" s="4"/>
    </row>
    <row r="40" spans="1:38" s="20" customFormat="1" ht="15.75">
      <c r="A40" s="58" t="s">
        <v>97</v>
      </c>
      <c r="B40" s="4"/>
      <c r="C40" s="4"/>
      <c r="D40" s="1">
        <v>3</v>
      </c>
      <c r="E40" s="8" t="s">
        <v>64</v>
      </c>
      <c r="G40" s="4"/>
    </row>
    <row r="41" spans="1:38" s="20" customFormat="1" ht="15.75">
      <c r="A41" s="58" t="s">
        <v>98</v>
      </c>
      <c r="B41" s="4"/>
      <c r="C41" s="4"/>
      <c r="D41" s="1">
        <v>1</v>
      </c>
      <c r="E41" s="8" t="s">
        <v>65</v>
      </c>
      <c r="G41" s="4"/>
    </row>
    <row r="42" spans="1:38" s="20" customFormat="1" ht="15.75">
      <c r="A42" s="58" t="s">
        <v>99</v>
      </c>
      <c r="B42" s="4"/>
      <c r="C42" s="4"/>
      <c r="D42" s="1">
        <v>5</v>
      </c>
      <c r="E42" s="28" t="s">
        <v>35</v>
      </c>
      <c r="G42" s="4"/>
      <c r="S42" s="46"/>
    </row>
    <row r="43" spans="1:38" s="20" customFormat="1" ht="15.75">
      <c r="A43" s="58" t="s">
        <v>100</v>
      </c>
      <c r="B43" s="4"/>
      <c r="C43" s="4"/>
      <c r="D43" s="31">
        <f>D42*D39</f>
        <v>19</v>
      </c>
      <c r="E43" s="8" t="s">
        <v>63</v>
      </c>
      <c r="F43" s="4"/>
      <c r="G43" s="4"/>
      <c r="AK43" s="44"/>
    </row>
    <row r="44" spans="1:38" s="35" customFormat="1" ht="15.75">
      <c r="A44" s="58" t="s">
        <v>27</v>
      </c>
      <c r="B44" s="58"/>
      <c r="C44" s="4"/>
      <c r="D44" s="31">
        <f>((((1-D18/D15)*D22*D18)/(D43*D26*D15*0.001))+((1-D18/D15)*D22*(D40/D42)*0.001))*1000</f>
        <v>101.68765550239233</v>
      </c>
      <c r="E44" s="8" t="s">
        <v>74</v>
      </c>
      <c r="F44" s="4"/>
      <c r="G44" s="4"/>
      <c r="S44" s="44"/>
      <c r="AK44" s="44"/>
    </row>
    <row r="45" spans="1:38" s="35" customFormat="1" ht="15.75">
      <c r="A45" s="58"/>
      <c r="B45" s="58"/>
      <c r="C45" s="4"/>
      <c r="D45" s="31">
        <f>0.1*D44/D15</f>
        <v>0.84739712918660282</v>
      </c>
      <c r="E45" s="8" t="s">
        <v>75</v>
      </c>
      <c r="F45" s="4"/>
      <c r="G45" s="4"/>
      <c r="AK45" s="44"/>
    </row>
    <row r="46" spans="1:38" s="35" customFormat="1" ht="15.75">
      <c r="A46" s="58"/>
      <c r="B46" s="58"/>
      <c r="C46" s="4"/>
      <c r="D46" s="31">
        <f>D44/2/SQRT(3)</f>
        <v>29.354697638784074</v>
      </c>
      <c r="E46" s="8" t="s">
        <v>76</v>
      </c>
      <c r="F46" s="4" t="s">
        <v>90</v>
      </c>
      <c r="G46" s="4"/>
      <c r="S46" s="44"/>
      <c r="AK46" s="44"/>
    </row>
    <row r="47" spans="1:38" s="20" customFormat="1" ht="24" customHeight="1">
      <c r="A47" s="87" t="s">
        <v>73</v>
      </c>
      <c r="B47" s="87"/>
      <c r="C47" s="4"/>
      <c r="G47" s="4"/>
      <c r="P47" s="55"/>
      <c r="AK47" s="44"/>
    </row>
    <row r="48" spans="1:38" s="20" customFormat="1" ht="15.75">
      <c r="A48" s="58" t="s">
        <v>101</v>
      </c>
      <c r="B48" s="4"/>
      <c r="C48" s="4"/>
      <c r="D48" s="30">
        <f>MAX(D36/100*D22/($D$26*1000)/8/(D18*D19/100+$D$35*D58),1.67*MIN(D22*D24,5*D23/D26*1000)/(D26*1000*D18*(D20/100)))*1000000</f>
        <v>134.94949494949495</v>
      </c>
      <c r="E48" s="8" t="s">
        <v>63</v>
      </c>
      <c r="F48" s="53"/>
      <c r="G48" s="4"/>
      <c r="P48" s="55"/>
      <c r="R48" s="3"/>
      <c r="S48" s="44"/>
      <c r="U48" s="44"/>
      <c r="V48" s="4"/>
      <c r="AL48" s="44"/>
    </row>
    <row r="49" spans="1:38" s="34" customFormat="1" ht="15.75">
      <c r="A49" s="58" t="s">
        <v>102</v>
      </c>
      <c r="B49" s="4"/>
      <c r="C49" s="4"/>
      <c r="D49" s="29">
        <v>36</v>
      </c>
      <c r="E49" s="59" t="s">
        <v>63</v>
      </c>
      <c r="F49" s="58" t="s">
        <v>105</v>
      </c>
      <c r="G49" s="4"/>
      <c r="S49" s="44"/>
      <c r="AL49" s="52"/>
    </row>
    <row r="50" spans="1:38" s="34" customFormat="1" ht="15.75">
      <c r="A50" s="4" t="s">
        <v>80</v>
      </c>
      <c r="B50" s="4"/>
      <c r="C50" s="4"/>
      <c r="D50" s="1">
        <v>3</v>
      </c>
      <c r="E50" s="59" t="s">
        <v>64</v>
      </c>
      <c r="G50" s="4"/>
      <c r="S50" s="44"/>
      <c r="AK50" s="37"/>
      <c r="AL50" s="37"/>
    </row>
    <row r="51" spans="1:38" s="34" customFormat="1" ht="15.75">
      <c r="A51" s="4" t="s">
        <v>81</v>
      </c>
      <c r="B51" s="4"/>
      <c r="C51" s="4"/>
      <c r="D51" s="1">
        <v>0.9</v>
      </c>
      <c r="E51" s="59" t="s">
        <v>65</v>
      </c>
      <c r="G51" s="4"/>
      <c r="S51" s="44"/>
      <c r="AK51" s="37"/>
      <c r="AL51" s="37"/>
    </row>
    <row r="52" spans="1:38" s="34" customFormat="1" ht="15.75">
      <c r="A52" s="58" t="s">
        <v>103</v>
      </c>
      <c r="B52" s="4"/>
      <c r="C52" s="4"/>
      <c r="D52" s="1">
        <v>4</v>
      </c>
      <c r="E52" s="28" t="s">
        <v>35</v>
      </c>
      <c r="G52" s="4"/>
      <c r="S52" s="46"/>
      <c r="AK52" s="37"/>
      <c r="AL52" s="37"/>
    </row>
    <row r="53" spans="1:38" s="20" customFormat="1" ht="15.75">
      <c r="A53" s="4" t="s">
        <v>82</v>
      </c>
      <c r="B53" s="4"/>
      <c r="C53" s="4"/>
      <c r="D53" s="40">
        <v>330</v>
      </c>
      <c r="E53" s="59" t="s">
        <v>63</v>
      </c>
      <c r="F53" s="58" t="s">
        <v>106</v>
      </c>
      <c r="G53" s="4"/>
      <c r="S53" s="44"/>
    </row>
    <row r="54" spans="1:38" s="20" customFormat="1" ht="15.75">
      <c r="A54" s="4" t="s">
        <v>83</v>
      </c>
      <c r="B54" s="4"/>
      <c r="C54" s="4"/>
      <c r="D54" s="41">
        <v>15</v>
      </c>
      <c r="E54" s="59" t="s">
        <v>64</v>
      </c>
      <c r="G54" s="4"/>
      <c r="S54" s="44"/>
    </row>
    <row r="55" spans="1:38" s="20" customFormat="1" ht="15.75">
      <c r="A55" s="4" t="s">
        <v>84</v>
      </c>
      <c r="B55" s="4"/>
      <c r="C55" s="4"/>
      <c r="D55" s="41">
        <v>4</v>
      </c>
      <c r="E55" s="59" t="s">
        <v>65</v>
      </c>
      <c r="F55"/>
      <c r="G55" s="4"/>
      <c r="S55" s="44"/>
    </row>
    <row r="56" spans="1:38" s="20" customFormat="1" ht="15.75">
      <c r="A56" s="58" t="s">
        <v>104</v>
      </c>
      <c r="B56" s="4"/>
      <c r="C56" s="4"/>
      <c r="D56" s="41">
        <v>0</v>
      </c>
      <c r="E56" s="28" t="s">
        <v>35</v>
      </c>
      <c r="F56"/>
      <c r="G56" s="4"/>
      <c r="S56" s="46"/>
    </row>
    <row r="57" spans="1:38" s="20" customFormat="1" ht="15.75">
      <c r="A57" s="58" t="s">
        <v>101</v>
      </c>
      <c r="B57" s="4"/>
      <c r="C57" s="4"/>
      <c r="D57" s="31">
        <f>D53*D56+D49*D52</f>
        <v>144</v>
      </c>
      <c r="E57" s="8" t="s">
        <v>63</v>
      </c>
      <c r="F57" s="4"/>
      <c r="G57" s="4"/>
    </row>
    <row r="58" spans="1:38" s="21" customFormat="1" ht="15.75">
      <c r="A58" s="4" t="s">
        <v>39</v>
      </c>
      <c r="B58" s="4"/>
      <c r="C58" s="4"/>
      <c r="D58" s="31">
        <f>IF(D56=0,D50/D52,D54/D56*D50/D52/(D54/D56+D50/D52))</f>
        <v>0.75</v>
      </c>
      <c r="E58" s="8" t="s">
        <v>85</v>
      </c>
      <c r="G58" s="4"/>
      <c r="S58" s="44"/>
    </row>
    <row r="59" spans="1:38" s="21" customFormat="1" ht="15.75">
      <c r="A59" s="4" t="s">
        <v>40</v>
      </c>
      <c r="B59" s="4"/>
      <c r="C59" s="4"/>
      <c r="D59" s="31">
        <f>IF(D56=0,D51/D52,D55/D56*D51/D52/(D55/D56+D51/D52))</f>
        <v>0.22500000000000001</v>
      </c>
      <c r="E59" s="8" t="s">
        <v>65</v>
      </c>
      <c r="G59" s="4"/>
    </row>
    <row r="60" spans="1:38" s="20" customFormat="1" ht="15.75">
      <c r="A60" s="4"/>
      <c r="B60" s="4"/>
      <c r="C60" s="4"/>
      <c r="D60" s="8"/>
      <c r="E60" s="8"/>
      <c r="F60" s="4"/>
      <c r="G60" s="4"/>
    </row>
    <row r="61" spans="1:38" ht="15.75">
      <c r="A61" s="80" t="s">
        <v>94</v>
      </c>
      <c r="B61" s="80"/>
      <c r="C61" s="4"/>
      <c r="D61" s="31">
        <f>1000000000*(1/D26^2*D18*(1-D18/D15)/8/D33/D57)+1000*(1-D18/D15)/D33/D26*D58*D18</f>
        <v>6.4768595041322303</v>
      </c>
      <c r="E61" s="58" t="s">
        <v>74</v>
      </c>
      <c r="F61" s="4"/>
      <c r="G61" s="50"/>
      <c r="S61" s="44"/>
      <c r="U61" s="49"/>
      <c r="V61" s="44"/>
    </row>
    <row r="62" spans="1:38" s="16" customFormat="1" ht="15.75">
      <c r="A62" s="80"/>
      <c r="B62" s="80"/>
      <c r="C62" s="18"/>
      <c r="D62" s="31">
        <f>2*D61/D18*100/2/1000</f>
        <v>0.35982552800734613</v>
      </c>
      <c r="E62" s="4" t="s">
        <v>26</v>
      </c>
      <c r="F62" s="4"/>
      <c r="G62" s="50"/>
      <c r="U62" s="49"/>
    </row>
    <row r="63" spans="1:38" s="16" customFormat="1" ht="15.75">
      <c r="A63" s="4"/>
      <c r="B63" s="4"/>
      <c r="C63" s="4"/>
      <c r="D63" s="4"/>
      <c r="E63" s="4"/>
      <c r="F63" s="4"/>
      <c r="G63" s="4"/>
    </row>
    <row r="64" spans="1:38" s="16" customFormat="1" ht="15.75">
      <c r="A64" s="88" t="s">
        <v>91</v>
      </c>
      <c r="B64" s="88"/>
      <c r="C64" s="4"/>
      <c r="D64" s="31">
        <f>1.67*(MIN(5*D23/D26*1000,D24*D22)/(D26*1000)/D57*1000000000)</f>
        <v>84.343434343434325</v>
      </c>
      <c r="E64" s="4" t="s">
        <v>66</v>
      </c>
      <c r="F64" s="4" t="s">
        <v>111</v>
      </c>
      <c r="G64" s="4"/>
      <c r="S64" s="57"/>
    </row>
    <row r="65" spans="1:37" s="16" customFormat="1" ht="15.75">
      <c r="A65" s="88"/>
      <c r="B65" s="88"/>
      <c r="C65" s="18"/>
      <c r="D65" s="31">
        <f>D64/D18*100/1000</f>
        <v>4.6857463524130178</v>
      </c>
      <c r="E65" s="4" t="s">
        <v>26</v>
      </c>
      <c r="F65" s="4"/>
      <c r="G65" s="4"/>
      <c r="S65" s="48"/>
    </row>
    <row r="66" spans="1:37" s="16" customFormat="1" ht="15.75">
      <c r="A66" s="4"/>
      <c r="B66" s="4"/>
      <c r="C66" s="4"/>
      <c r="D66" s="4"/>
      <c r="E66" s="4"/>
      <c r="F66" s="4"/>
      <c r="G66" s="4"/>
    </row>
    <row r="67" spans="1:37" ht="15.75">
      <c r="A67" s="88" t="s">
        <v>92</v>
      </c>
      <c r="B67" s="88"/>
      <c r="D67" s="31">
        <f>1000*(SQRT((D33*D22^2/D57)+D18^2)-D18)+(D58*D22)</f>
        <v>125.49067318506268</v>
      </c>
      <c r="E67" s="4" t="s">
        <v>66</v>
      </c>
      <c r="F67" s="4" t="s">
        <v>112</v>
      </c>
      <c r="I67" s="48"/>
      <c r="P67" s="51"/>
      <c r="R67" s="3"/>
      <c r="S67" s="44"/>
      <c r="U67" s="55"/>
      <c r="V67" s="55"/>
      <c r="W67" s="52"/>
    </row>
    <row r="68" spans="1:37" s="16" customFormat="1" ht="15.75">
      <c r="A68" s="88"/>
      <c r="B68" s="88"/>
      <c r="C68" s="18"/>
      <c r="D68" s="31">
        <f>D67/D18*100/1000</f>
        <v>6.971704065836815</v>
      </c>
      <c r="E68" s="4" t="s">
        <v>26</v>
      </c>
      <c r="W68" s="44"/>
    </row>
    <row r="69" spans="1:37">
      <c r="A69" s="83" t="s">
        <v>10</v>
      </c>
      <c r="B69" s="84"/>
      <c r="C69" s="84"/>
      <c r="D69" s="84"/>
      <c r="E69" s="84"/>
      <c r="F69" s="84"/>
      <c r="G69" s="84"/>
      <c r="H69" s="84"/>
      <c r="I69" s="84"/>
      <c r="J69" s="84"/>
      <c r="K69" s="9"/>
    </row>
    <row r="70" spans="1:37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9"/>
    </row>
    <row r="71" spans="1:37" ht="18.75">
      <c r="A71" s="83"/>
      <c r="B71" s="84"/>
      <c r="C71" s="84"/>
      <c r="D71" s="84"/>
      <c r="E71" s="84"/>
      <c r="F71" s="84"/>
      <c r="G71" s="84"/>
      <c r="H71" s="84"/>
      <c r="I71" s="84"/>
      <c r="J71" s="84"/>
      <c r="K71" s="9"/>
    </row>
    <row r="72" spans="1:37" s="21" customFormat="1" ht="15.75">
      <c r="A72" s="4" t="s">
        <v>37</v>
      </c>
      <c r="D72" s="25">
        <v>8</v>
      </c>
      <c r="E72" s="4"/>
      <c r="R72" s="3"/>
      <c r="S72" s="48"/>
    </row>
    <row r="73" spans="1:37" s="26" customFormat="1" ht="15.75" hidden="1">
      <c r="A73" s="4" t="s">
        <v>55</v>
      </c>
      <c r="D73" s="25">
        <v>1</v>
      </c>
      <c r="E73" s="4"/>
      <c r="S73" s="44"/>
      <c r="AK73" s="54"/>
    </row>
    <row r="74" spans="1:37" s="21" customFormat="1" ht="15.75">
      <c r="A74" s="4" t="s">
        <v>38</v>
      </c>
      <c r="D74" s="25">
        <f>D15/D72</f>
        <v>1.5</v>
      </c>
      <c r="E74" s="4"/>
      <c r="AK74" s="44"/>
    </row>
    <row r="75" spans="1:37" s="21" customFormat="1" ht="15.75">
      <c r="A75" s="4" t="s">
        <v>41</v>
      </c>
      <c r="D75" s="31">
        <f>1/(2*PI()*D57*0.000001*D58*0.001)/1000</f>
        <v>1473.6568804805124</v>
      </c>
      <c r="E75" s="4" t="s">
        <v>34</v>
      </c>
      <c r="S75" s="37">
        <f>0.000159/SQRT(D57*D59*0.000000000000001)</f>
        <v>883.33333333333326</v>
      </c>
      <c r="T75" s="37" t="s">
        <v>34</v>
      </c>
      <c r="U75" s="37" t="s">
        <v>125</v>
      </c>
    </row>
    <row r="76" spans="1:37" s="21" customFormat="1" ht="15.75">
      <c r="A76" s="4" t="s">
        <v>42</v>
      </c>
      <c r="D76" s="31">
        <f>1/(2*PI()*SQRT(D33*0.000001*D57*0.000001))/1000</f>
        <v>13.262911924324611</v>
      </c>
      <c r="E76" s="4" t="s">
        <v>34</v>
      </c>
      <c r="S76" s="37"/>
      <c r="T76" s="37"/>
      <c r="U76" s="37" t="s">
        <v>132</v>
      </c>
    </row>
    <row r="77" spans="1:37" s="21" customFormat="1" ht="15.75">
      <c r="A77" s="4" t="s">
        <v>44</v>
      </c>
      <c r="D77" s="31">
        <f>D18/D22*SQRT(D57/D33)</f>
        <v>2.7</v>
      </c>
      <c r="E77" s="4"/>
    </row>
    <row r="78" spans="1:37" s="42" customFormat="1" ht="15.75">
      <c r="A78" s="4" t="s">
        <v>86</v>
      </c>
      <c r="D78" s="31">
        <f>D18/D22*1000</f>
        <v>225</v>
      </c>
      <c r="E78" s="4" t="s">
        <v>85</v>
      </c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</row>
    <row r="79" spans="1:37" s="21" customFormat="1"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</row>
    <row r="80" spans="1:37" s="21" customFormat="1" ht="15.75">
      <c r="A80" s="4" t="s">
        <v>79</v>
      </c>
      <c r="D80" s="1">
        <v>120</v>
      </c>
      <c r="E80" s="4" t="s">
        <v>34</v>
      </c>
      <c r="F80" s="62" t="str">
        <f>IF(F84&lt;10*F83,"BW limited, please reduce f_c."," ")</f>
        <v xml:space="preserve"> </v>
      </c>
      <c r="N80" s="6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</row>
    <row r="81" spans="1:24" s="21" customFormat="1" ht="15.75">
      <c r="A81" s="4" t="s">
        <v>45</v>
      </c>
      <c r="D81" s="1">
        <v>83</v>
      </c>
      <c r="E81" s="15" t="s">
        <v>46</v>
      </c>
      <c r="F81" s="89" t="str">
        <f>IF(AND(D80/TAN((ATAN(D80/D87)/PI()*180+ATAN(D80/D88)/PI()*180-ATAN(D80/D89)/PI()*180-D85)/180*PI())&gt;0,D80/TAN((ATAN(D80/D87)/PI()*180+ATAN(D80/D88)/PI()*180-ATAN(D80/D89)/PI()*180-D85)/180*PI())&lt;5*D26),"Typically need greater than 45°","Phase Boost limited, please reduce PM.")</f>
        <v>Phase Boost limited, please reduce PM.</v>
      </c>
      <c r="S81" s="37"/>
    </row>
    <row r="82" spans="1:24" s="21" customFormat="1">
      <c r="S82" s="63"/>
      <c r="T82" s="57"/>
      <c r="W82" s="57"/>
    </row>
    <row r="83" spans="1:24" s="21" customFormat="1" ht="15.75" customHeight="1">
      <c r="A83" s="4" t="s">
        <v>47</v>
      </c>
      <c r="D83" s="31">
        <f>-20*LOG10(IMABS(IMPRODUCT(D$72,D$73,IMDIV(D$78,IMSUM(D$78,D$34)),IMDIV(IMSUM(1,IMDIV(COMPLEX(0,2*PI()*D80*1000),2*PI()*D$75*1000)),IMSUM(1,IMDIV(COMPLEX(0,2*PI()*D80*1000),2*PI()*D$76*1000*D$77),IMDIV(IMPOWER(COMPLEX(0,2*PI()*D80*1000),2),IMPOWER(2*PI()*D$76*1000,2)))))))</f>
        <v>20.262793824048781</v>
      </c>
      <c r="E83" s="4" t="s">
        <v>49</v>
      </c>
      <c r="F83" s="43">
        <f>10^(D83/20)</f>
        <v>10.307175983515886</v>
      </c>
      <c r="G83" s="24" t="s">
        <v>54</v>
      </c>
    </row>
    <row r="84" spans="1:24" s="60" customFormat="1" ht="15.75" customHeight="1">
      <c r="A84" s="4" t="s">
        <v>109</v>
      </c>
      <c r="D84" s="31">
        <f>20*LOG10(F84)</f>
        <v>40.980481958300985</v>
      </c>
      <c r="E84" s="4" t="s">
        <v>49</v>
      </c>
      <c r="F84" s="43">
        <f>13434/D80</f>
        <v>111.95</v>
      </c>
      <c r="G84" s="24" t="s">
        <v>54</v>
      </c>
      <c r="L84" s="37" t="s">
        <v>119</v>
      </c>
      <c r="S84" s="48" t="s">
        <v>124</v>
      </c>
      <c r="T84" s="57"/>
      <c r="U84" s="57"/>
      <c r="V84" s="57"/>
      <c r="W84" s="57"/>
      <c r="X84" s="57"/>
    </row>
    <row r="85" spans="1:24" s="21" customFormat="1" ht="15.75" customHeight="1">
      <c r="A85" s="4" t="s">
        <v>48</v>
      </c>
      <c r="D85" s="31">
        <f>D81-IMARGUMENT(IMPRODUCT(D$72,D$73,IMDIV(D$78,IMSUM(D$78,D$34)),IMDIV(IMSUM(1,IMDIV(COMPLEX(0,2*PI()*D80*1000),2*PI()*D$75*1000)),IMSUM(1,IMDIV(COMPLEX(0,2*PI()*D80*1000),2*PI()*D$76*1000*D$77),IMDIV(IMPOWER(COMPLEX(0,2*PI()*D80*1000),2),IMPOWER(2*PI()*D$76*1000,2))))))*180/PI()-90</f>
        <v>165.97162676552307</v>
      </c>
      <c r="E85" s="15" t="s">
        <v>46</v>
      </c>
    </row>
    <row r="86" spans="1:24" s="21" customFormat="1" ht="15.75">
      <c r="A86" s="4"/>
      <c r="D86" s="15"/>
      <c r="E86" s="15"/>
    </row>
    <row r="87" spans="1:24" s="21" customFormat="1" ht="15.75">
      <c r="A87" s="4" t="s">
        <v>51</v>
      </c>
      <c r="D87" s="31">
        <f>0.3*D76</f>
        <v>3.9788735772973829</v>
      </c>
      <c r="E87" s="4" t="s">
        <v>34</v>
      </c>
    </row>
    <row r="88" spans="1:24" s="21" customFormat="1" ht="15.75">
      <c r="A88" s="4" t="s">
        <v>50</v>
      </c>
      <c r="D88" s="31">
        <f>0.8*D76</f>
        <v>10.610329539459689</v>
      </c>
      <c r="E88" s="4" t="s">
        <v>34</v>
      </c>
      <c r="R88" s="3"/>
      <c r="S88" s="44"/>
    </row>
    <row r="89" spans="1:24" s="21" customFormat="1" ht="15.75">
      <c r="A89" s="4" t="s">
        <v>52</v>
      </c>
      <c r="D89" s="31">
        <f>D75</f>
        <v>1473.6568804805124</v>
      </c>
      <c r="E89" s="4" t="s">
        <v>34</v>
      </c>
      <c r="S89" s="57"/>
    </row>
    <row r="90" spans="1:24" s="21" customFormat="1" ht="17.25">
      <c r="A90" s="4" t="s">
        <v>53</v>
      </c>
      <c r="D90" s="31">
        <f>IF(AND(D80/TAN((ATAN(D80/D87)/PI()*180+ATAN(D80/D88)/PI()*180-ATAN(D80/D89)/PI()*180-D85)/180*PI())&gt;0,D80/TAN((ATAN(D80/D87)/PI()*180+ATAN(D80/D88)/PI()*180-ATAN(D80/D89)/PI()*180-D85)/180*PI())&lt;5*D26),D80/TAN((ATAN(D80/D87)/PI()*180+ATAN(D80/D88)/PI()*180-ATAN(D80/D89)/PI()*180-D85)/180*PI()),5*D26)</f>
        <v>2750</v>
      </c>
      <c r="E90" s="4" t="s">
        <v>34</v>
      </c>
      <c r="S90" s="52" t="s">
        <v>134</v>
      </c>
    </row>
    <row r="91" spans="1:24" s="21" customFormat="1">
      <c r="S91" s="37"/>
      <c r="T91" s="37" t="s">
        <v>129</v>
      </c>
    </row>
    <row r="92" spans="1:24" ht="15.75">
      <c r="O92" s="49"/>
      <c r="S92" s="77"/>
      <c r="T92" s="37" t="s">
        <v>126</v>
      </c>
      <c r="U92" s="37"/>
    </row>
    <row r="93" spans="1:24">
      <c r="T93" s="37" t="s">
        <v>127</v>
      </c>
    </row>
    <row r="94" spans="1:24" s="65" customFormat="1">
      <c r="T94" s="37" t="s">
        <v>128</v>
      </c>
    </row>
    <row r="95" spans="1:24" s="65" customFormat="1">
      <c r="T95" s="37" t="s">
        <v>133</v>
      </c>
    </row>
    <row r="96" spans="1:24" s="65" customFormat="1"/>
    <row r="97" spans="1:19" s="65" customFormat="1"/>
    <row r="98" spans="1:19" s="65" customFormat="1"/>
    <row r="99" spans="1:19" s="65" customFormat="1"/>
    <row r="110" spans="1:19" ht="16.5">
      <c r="A110" s="4" t="s">
        <v>56</v>
      </c>
      <c r="B110" s="4"/>
      <c r="C110" s="4"/>
      <c r="D110" s="1">
        <v>20</v>
      </c>
      <c r="E110" s="4" t="s">
        <v>67</v>
      </c>
      <c r="F110" s="4" t="s">
        <v>117</v>
      </c>
      <c r="G110" s="4"/>
      <c r="S110" s="37" t="s">
        <v>121</v>
      </c>
    </row>
    <row r="111" spans="1:19" s="21" customFormat="1" ht="15.75">
      <c r="A111" s="80" t="s">
        <v>57</v>
      </c>
      <c r="B111" s="4"/>
      <c r="C111" s="4"/>
      <c r="D111" s="31">
        <f>1000*D110*D88/(D90-D88)</f>
        <v>77.464916027634018</v>
      </c>
      <c r="E111" s="4" t="s">
        <v>7</v>
      </c>
      <c r="F111" s="4"/>
      <c r="S111" s="52" t="s">
        <v>120</v>
      </c>
    </row>
    <row r="112" spans="1:19" ht="15.75">
      <c r="A112" s="80"/>
      <c r="B112" s="4"/>
      <c r="C112" s="4"/>
      <c r="D112" s="1">
        <v>150</v>
      </c>
      <c r="E112" s="4" t="s">
        <v>7</v>
      </c>
      <c r="F112" s="4"/>
    </row>
    <row r="113" spans="1:29" s="21" customFormat="1" ht="15.75">
      <c r="A113" s="80" t="s">
        <v>58</v>
      </c>
      <c r="B113" s="4"/>
      <c r="C113" s="4"/>
      <c r="D113" s="31">
        <f>10^(D83/20)*D110*D90/(D90-D87)*SQRT((1+(D80/D89)^2)*(1+(D80/D90)^2)/(1+(D80/D88)^2)/(1+(D87/D80)^2))</f>
        <v>18.25007616625355</v>
      </c>
      <c r="E113" s="4" t="s">
        <v>67</v>
      </c>
      <c r="F113" s="4"/>
      <c r="S113" s="44"/>
    </row>
    <row r="114" spans="1:29" ht="15.75">
      <c r="A114" s="80"/>
      <c r="B114" s="4"/>
      <c r="C114" s="4"/>
      <c r="D114" s="1">
        <v>18.850000000000001</v>
      </c>
      <c r="E114" s="4" t="s">
        <v>67</v>
      </c>
      <c r="F114" s="4"/>
    </row>
    <row r="115" spans="1:29" s="21" customFormat="1" ht="15.75">
      <c r="A115" s="80" t="s">
        <v>59</v>
      </c>
      <c r="B115" s="4"/>
      <c r="C115" s="4"/>
      <c r="D115" s="31">
        <f>(D90-D88)/(2*PI()*1000*D110*D90*D88*1000)*1000000000</f>
        <v>0.7471062737619657</v>
      </c>
      <c r="E115" s="4" t="s">
        <v>68</v>
      </c>
      <c r="F115" s="4"/>
      <c r="S115" s="44"/>
    </row>
    <row r="116" spans="1:29" ht="15.75">
      <c r="A116" s="80"/>
      <c r="B116" s="4"/>
      <c r="C116" s="4"/>
      <c r="D116" s="1">
        <v>0.68</v>
      </c>
      <c r="E116" s="4" t="s">
        <v>68</v>
      </c>
      <c r="F116" s="4"/>
    </row>
    <row r="117" spans="1:29" s="21" customFormat="1" ht="15.75">
      <c r="A117" s="80" t="s">
        <v>60</v>
      </c>
      <c r="B117" s="4"/>
      <c r="C117" s="4"/>
      <c r="D117" s="33">
        <f>1/(2*PI()*1000*D113*D87*1000)*1000000000</f>
        <v>2.1917716745733107</v>
      </c>
      <c r="E117" s="4" t="s">
        <v>68</v>
      </c>
      <c r="F117" s="4"/>
      <c r="S117" s="44"/>
    </row>
    <row r="118" spans="1:29" ht="15.75">
      <c r="A118" s="80"/>
      <c r="B118" s="4"/>
      <c r="C118" s="4"/>
      <c r="D118" s="1">
        <v>2.2000000000000002</v>
      </c>
      <c r="E118" s="4" t="s">
        <v>68</v>
      </c>
      <c r="F118" s="4"/>
    </row>
    <row r="119" spans="1:29" s="21" customFormat="1" ht="15.75">
      <c r="A119" s="80" t="s">
        <v>61</v>
      </c>
      <c r="B119" s="4"/>
      <c r="C119" s="4"/>
      <c r="D119" s="33">
        <f>1000*D117/(2*PI()*D89*1000*D113*D117/1000000000*1000-1)</f>
        <v>5.9338047942925272</v>
      </c>
      <c r="E119" s="4" t="s">
        <v>69</v>
      </c>
      <c r="F119" s="4"/>
      <c r="S119" s="44"/>
    </row>
    <row r="120" spans="1:29" ht="15.75">
      <c r="A120" s="80"/>
      <c r="B120" s="4"/>
      <c r="C120" s="4"/>
      <c r="D120" s="1">
        <v>22</v>
      </c>
      <c r="E120" s="4" t="s">
        <v>69</v>
      </c>
      <c r="F120" s="4"/>
    </row>
    <row r="121" spans="1:29" s="72" customFormat="1" ht="15.75">
      <c r="A121" s="81" t="s">
        <v>118</v>
      </c>
      <c r="B121" s="4"/>
      <c r="C121" s="4"/>
      <c r="D121" s="75">
        <f>D110/((D18/0.6)-1)</f>
        <v>10</v>
      </c>
      <c r="E121" s="4" t="s">
        <v>67</v>
      </c>
      <c r="F121" s="4"/>
      <c r="S121" s="82" t="s">
        <v>122</v>
      </c>
      <c r="T121" s="82"/>
      <c r="U121" s="82"/>
    </row>
    <row r="122" spans="1:29" s="72" customFormat="1" ht="15.75">
      <c r="A122" s="81"/>
      <c r="B122" s="4"/>
      <c r="C122" s="4"/>
      <c r="D122" s="1">
        <v>10</v>
      </c>
      <c r="E122" s="4" t="s">
        <v>67</v>
      </c>
      <c r="F122" s="4"/>
      <c r="S122" s="82"/>
      <c r="T122" s="82"/>
      <c r="U122" s="82"/>
    </row>
    <row r="123" spans="1:29" s="72" customFormat="1" ht="15.75">
      <c r="A123" s="73" t="s">
        <v>123</v>
      </c>
      <c r="B123" s="4"/>
      <c r="C123" s="4"/>
      <c r="D123" s="76">
        <f>(D110/D122+1)*0.6</f>
        <v>1.7999999999999998</v>
      </c>
      <c r="E123" s="4" t="s">
        <v>5</v>
      </c>
      <c r="F123" s="4"/>
      <c r="S123" s="82"/>
      <c r="T123" s="82"/>
      <c r="U123" s="82"/>
    </row>
    <row r="124" spans="1:29">
      <c r="R124" s="3"/>
      <c r="S124" s="52"/>
    </row>
    <row r="125" spans="1:29" ht="45.75" customHeight="1">
      <c r="A125" s="6" t="s">
        <v>24</v>
      </c>
      <c r="S125" s="78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</row>
    <row r="126" spans="1:29">
      <c r="B126" t="s">
        <v>11</v>
      </c>
      <c r="C126" s="3" t="s">
        <v>12</v>
      </c>
      <c r="D126" t="s">
        <v>13</v>
      </c>
      <c r="E126" t="s">
        <v>14</v>
      </c>
      <c r="F126" t="s">
        <v>15</v>
      </c>
      <c r="G126" s="3" t="s">
        <v>16</v>
      </c>
      <c r="H126" s="3" t="s">
        <v>17</v>
      </c>
      <c r="I126" s="3" t="s">
        <v>18</v>
      </c>
      <c r="J126" s="3" t="s">
        <v>21</v>
      </c>
      <c r="K126" s="3" t="s">
        <v>23</v>
      </c>
      <c r="L126" s="3" t="s">
        <v>19</v>
      </c>
      <c r="M126" s="3" t="s">
        <v>20</v>
      </c>
      <c r="Q126" s="61" t="s">
        <v>107</v>
      </c>
      <c r="R126" s="61" t="s">
        <v>108</v>
      </c>
      <c r="S126" s="3" t="s">
        <v>17</v>
      </c>
      <c r="T126" s="3" t="s">
        <v>18</v>
      </c>
      <c r="U126" s="3" t="s">
        <v>21</v>
      </c>
      <c r="V126" s="3" t="s">
        <v>23</v>
      </c>
      <c r="W126" s="3" t="s">
        <v>19</v>
      </c>
      <c r="X126" s="3" t="s">
        <v>20</v>
      </c>
    </row>
    <row r="127" spans="1:29" ht="15.75">
      <c r="A127" s="67">
        <v>2</v>
      </c>
      <c r="B127" s="68">
        <f>10^A127</f>
        <v>100</v>
      </c>
      <c r="C127" s="68">
        <f>2*PI()*B127</f>
        <v>628.31853071795865</v>
      </c>
      <c r="D127" s="68" t="str">
        <f>COMPLEX(0,C127)</f>
        <v>628.318530717959i</v>
      </c>
      <c r="E127" s="69" t="str">
        <f t="shared" ref="E127:E167" si="0">IMPRODUCT(D$72,D$73,IMDIV(D$78,IMSUM(D$78,D$34)),IMDIV(IMSUM(1,IMDIV(D127,2*PI()*D$75*1000)),IMSUM(1,IMDIV(D127,2*PI()*D$76*1000*D$77),IMDIV(IMPOWER(D127,2),IMPOWER(2*PI()*D$76*1000,2)))))</f>
        <v>7.82647233021845-0.0213257803547357i</v>
      </c>
      <c r="F127" s="68">
        <f>20*LOG10(IMABS(E127))</f>
        <v>17.871353328308462</v>
      </c>
      <c r="G127" s="67">
        <f>IMARGUMENT(E127)*180/PI()</f>
        <v>-0.15612068037719151</v>
      </c>
      <c r="H127" s="67" t="str">
        <f>IMDIV(IMPRODUCT(IMSUM(IMPRODUCT(D127,$D$114*1000*$D$118/1000000000),1),IMSUM(IMPRODUCT(D127,$D$116/1000000000*$D$110*1000+$D$116/1000000000*$D$112),1)),IMPRODUCT(IMPRODUCT(D127,$D$110*1000),IMSUM(IMPRODUCT(D127,$D$112*$D$116/1000000000),1),IMSUM(IMPRODUCT(D127,$D$114*1000*$D$118/1000000000*$D$120/1000000000000),$D$118/1000000000+$D$120/1000000000000)))</f>
        <v>1.2299621096684-35.8058064170082i</v>
      </c>
      <c r="I127" s="67">
        <f t="shared" ref="I127:I167" si="1">20*LOG10(IMABS(H127))</f>
        <v>31.084190776074099</v>
      </c>
      <c r="J127" s="67">
        <f>IMARGUMENT(H127)*180/PI()</f>
        <v>-88.032611299496835</v>
      </c>
      <c r="K127" s="67" t="str">
        <f>IMPRODUCT(E127,H127)</f>
        <v>8.86267765546354-280.259383085668i</v>
      </c>
      <c r="L127" s="68">
        <f>20*LOG10(IMABS(K127))</f>
        <v>48.955544104382547</v>
      </c>
      <c r="M127" s="67">
        <f>IMARGUMENT(K127)*180/PI()+180</f>
        <v>91.811268020125993</v>
      </c>
      <c r="N127" s="67"/>
      <c r="O127" s="70">
        <v>200</v>
      </c>
      <c r="P127" s="70" t="e">
        <f>IF(#REF!="FAN251015",2200,IF(#REF!="FAN251030",1800,1400))</f>
        <v>#REF!</v>
      </c>
      <c r="Q127" s="68">
        <f t="shared" ref="Q127:Q166" si="2">8500000/B127</f>
        <v>85000</v>
      </c>
      <c r="R127" s="68">
        <f>20*LOG10(Q127)</f>
        <v>98.588378514285864</v>
      </c>
      <c r="S127" s="67" t="str">
        <f>IMDIV(IMPRODUCT(IMSUM(IMPRODUCT(D127,$D$113*1000*$D$117/1000000000),1),IMSUM(IMPRODUCT(D127,$D$115/1000000000*$D$110*1000+$D$115/1000000000*$D$111),1)),IMPRODUCT(IMPRODUCT(D127,$D$110*1000),IMSUM(IMPRODUCT(D127,$D$111*$D$115/1000000000),1),IMSUM(IMPRODUCT(D127,$D$113*1000*$D$117/1000000000*$D$119/1000000000000),$D$117/1000000000+$D$119/1000000000000)))</f>
        <v>1.24753213795229-36.2008961981812i</v>
      </c>
      <c r="T127" s="67">
        <f>20*LOG10(IMABS(S127))</f>
        <v>31.179541000935075</v>
      </c>
      <c r="U127" s="67">
        <f>IMARGUMENT(S127)*180/PI()</f>
        <v>-88.026290550182139</v>
      </c>
      <c r="V127" s="67" t="str">
        <f>IMPRODUCT(E127,S127)</f>
        <v>8.99176339777486-283.351917020535i</v>
      </c>
      <c r="W127" s="68">
        <f>20*LOG10(IMABS(V127))</f>
        <v>49.050894329243533</v>
      </c>
      <c r="X127" s="67">
        <f>IMARGUMENT(V127)*180/PI()+180</f>
        <v>91.817588769440675</v>
      </c>
      <c r="Y127" s="67"/>
    </row>
    <row r="128" spans="1:29">
      <c r="A128" s="67">
        <v>2.1</v>
      </c>
      <c r="B128" s="68">
        <f t="shared" ref="B128:B167" si="3">10^A128</f>
        <v>125.89254117941677</v>
      </c>
      <c r="C128" s="68">
        <f t="shared" ref="C128:C167" si="4">2*PI()*B128</f>
        <v>791.0061650220124</v>
      </c>
      <c r="D128" s="68" t="str">
        <f t="shared" ref="D128:D167" si="5">COMPLEX(0,C128)</f>
        <v>791.006165022012i</v>
      </c>
      <c r="E128" s="69" t="str">
        <f t="shared" si="0"/>
        <v>7.82669774705525-0.0268492521346382i</v>
      </c>
      <c r="F128" s="68">
        <f t="shared" ref="F128:F167" si="6">20*LOG10(IMABS(E128))</f>
        <v>17.871622357504588</v>
      </c>
      <c r="G128" s="67">
        <f t="shared" ref="G128:G167" si="7">IMARGUMENT(E128)*180/PI()</f>
        <v>-0.19655068403850975</v>
      </c>
      <c r="H128" s="67" t="str">
        <f t="shared" ref="H128:H167" si="8">IMDIV(IMPRODUCT(IMSUM(IMPRODUCT(D128,$D$114*1000*$D$118/1000000000),1),IMSUM(IMPRODUCT(D128,$D$116/1000000000*$D$110*1000+$D$116/1000000000*$D$112),1)),IMPRODUCT(IMPRODUCT(D128,$D$110*1000),IMSUM(IMPRODUCT(D128,$D$112*$D$116/1000000000),1),IMSUM(IMPRODUCT(D128,$D$114*1000*$D$118/1000000000*$D$120/1000000000000),$D$118/1000000000+$D$120/1000000000000)))</f>
        <v>1.22996356022797-28.4380148187997i</v>
      </c>
      <c r="I128" s="67">
        <f t="shared" si="1"/>
        <v>29.08610194100206</v>
      </c>
      <c r="J128" s="67">
        <f>IMARGUMENT(H128)*180/PI()</f>
        <v>-87.52346186312748</v>
      </c>
      <c r="K128" s="67" t="str">
        <f>IMPRODUCT(E128,H128)</f>
        <v>8.86301359571778-222.608770114768i</v>
      </c>
      <c r="L128" s="68">
        <f>20*LOG10(IMABS(K128))</f>
        <v>46.957724298506633</v>
      </c>
      <c r="M128" s="67">
        <f t="shared" ref="M128:M167" si="9">IMARGUMENT(K128)*180/PI()+180</f>
        <v>92.279987452833993</v>
      </c>
      <c r="N128" s="67"/>
      <c r="O128" s="67"/>
      <c r="P128" s="67"/>
      <c r="Q128" s="68">
        <f t="shared" si="2"/>
        <v>67517.899951563901</v>
      </c>
      <c r="R128" s="68">
        <f t="shared" ref="R128:R167" si="10">20*LOG10(Q128)</f>
        <v>96.58837851428585</v>
      </c>
      <c r="S128" s="67" t="str">
        <f t="shared" ref="S128:S167" si="11">IMDIV(IMPRODUCT(IMSUM(IMPRODUCT(D128,$D$113*1000*$D$117/1000000000),1),IMSUM(IMPRODUCT(D128,$D$115/1000000000*$D$110*1000+$D$115/1000000000*$D$111),1)),IMPRODUCT(IMPRODUCT(D128,$D$110*1000),IMSUM(IMPRODUCT(D128,$D$111*$D$115/1000000000),1),IMSUM(IMPRODUCT(D128,$D$113*1000*$D$117/1000000000*$D$119/1000000000000),$D$117/1000000000+$D$119/1000000000000)))</f>
        <v>1.24753265466024-28.751469605853i</v>
      </c>
      <c r="T128" s="67">
        <f t="shared" ref="T128:T167" si="12">20*LOG10(IMABS(S128))</f>
        <v>29.181369787684996</v>
      </c>
      <c r="U128" s="67">
        <f t="shared" ref="U128:U167" si="13">IMARGUMENT(S128)*180/PI()</f>
        <v>-87.515481824208791</v>
      </c>
      <c r="V128" s="67" t="str">
        <f t="shared" ref="V128:V167" si="14">IMPRODUCT(E128,S128)</f>
        <v>8.99210556091822-225.062557707448i</v>
      </c>
      <c r="W128" s="68">
        <f t="shared" ref="W128:W167" si="15">20*LOG10(IMABS(V128))</f>
        <v>47.052992145189577</v>
      </c>
      <c r="X128" s="67">
        <f t="shared" ref="X128:X167" si="16">IMARGUMENT(V128)*180/PI()+180</f>
        <v>92.28796749175271</v>
      </c>
      <c r="Y128" s="67"/>
    </row>
    <row r="129" spans="1:25">
      <c r="A129" s="67">
        <v>2.2000000000000002</v>
      </c>
      <c r="B129" s="68">
        <f t="shared" si="3"/>
        <v>158.48931924611153</v>
      </c>
      <c r="C129" s="68">
        <f t="shared" si="4"/>
        <v>995.81776203206277</v>
      </c>
      <c r="D129" s="68" t="str">
        <f t="shared" si="5"/>
        <v>995.817762032063i</v>
      </c>
      <c r="E129" s="69" t="str">
        <f t="shared" si="0"/>
        <v>7.82705503041534-0.0338045688402266i</v>
      </c>
      <c r="F129" s="68">
        <f t="shared" si="6"/>
        <v>17.87204875450708</v>
      </c>
      <c r="G129" s="67">
        <f t="shared" si="7"/>
        <v>-0.24745540596308135</v>
      </c>
      <c r="H129" s="67" t="str">
        <f t="shared" si="8"/>
        <v>1.22996585920969-22.5846512100323i</v>
      </c>
      <c r="I129" s="67">
        <f t="shared" si="1"/>
        <v>27.08912951696977</v>
      </c>
      <c r="J129" s="67">
        <f t="shared" ref="J129:J167" si="17">IMARGUMENT(H129)*180/PI()</f>
        <v>-86.882736666262986</v>
      </c>
      <c r="K129" s="67" t="str">
        <f t="shared" ref="K129:K167" si="18">IMPRODUCT(E129,H129)</f>
        <v>8.86354606900429-176.812886329218i</v>
      </c>
      <c r="L129" s="68">
        <f t="shared" ref="L129:L167" si="19">20*LOG10(IMABS(K129))</f>
        <v>44.961178271476854</v>
      </c>
      <c r="M129" s="67">
        <f t="shared" si="9"/>
        <v>92.869807927773948</v>
      </c>
      <c r="N129" s="67"/>
      <c r="O129" s="67"/>
      <c r="P129" s="67"/>
      <c r="Q129" s="68">
        <f t="shared" si="2"/>
        <v>53631.374280816366</v>
      </c>
      <c r="R129" s="68">
        <f t="shared" si="10"/>
        <v>94.58837851428585</v>
      </c>
      <c r="S129" s="67" t="str">
        <f t="shared" si="11"/>
        <v>1.24753347358711-22.8331636128635i</v>
      </c>
      <c r="T129" s="67">
        <f t="shared" si="12"/>
        <v>27.184266983698127</v>
      </c>
      <c r="U129" s="67">
        <f t="shared" si="13"/>
        <v>-86.872645175614721</v>
      </c>
      <c r="V129" s="67" t="str">
        <f t="shared" si="14"/>
        <v>8.99264789886031-178.758600447548i</v>
      </c>
      <c r="W129" s="68">
        <f t="shared" si="15"/>
        <v>45.0563157382052</v>
      </c>
      <c r="X129" s="67">
        <f t="shared" si="16"/>
        <v>92.879899418422212</v>
      </c>
      <c r="Y129" s="67"/>
    </row>
    <row r="130" spans="1:25">
      <c r="A130" s="67">
        <v>2.2999999999999998</v>
      </c>
      <c r="B130" s="68">
        <f t="shared" si="3"/>
        <v>199.52623149688802</v>
      </c>
      <c r="C130" s="68">
        <f t="shared" si="4"/>
        <v>1253.6602861381596</v>
      </c>
      <c r="D130" s="68" t="str">
        <f t="shared" si="5"/>
        <v>1253.66028613816i</v>
      </c>
      <c r="E130" s="69" t="str">
        <f t="shared" si="0"/>
        <v>7.82762134101824-0.0425641421139691i</v>
      </c>
      <c r="F130" s="68">
        <f t="shared" si="6"/>
        <v>17.872724584540446</v>
      </c>
      <c r="G130" s="67">
        <f t="shared" si="7"/>
        <v>-0.31155335181476157</v>
      </c>
      <c r="H130" s="67" t="str">
        <f t="shared" si="8"/>
        <v>1.22996950284957-17.9340026347333i</v>
      </c>
      <c r="I130" s="67">
        <f t="shared" si="1"/>
        <v>25.093924348624391</v>
      </c>
      <c r="J130" s="67">
        <f t="shared" si="17"/>
        <v>-86.076621494603188</v>
      </c>
      <c r="K130" s="67" t="str">
        <f t="shared" si="18"/>
        <v>8.8643900924898-140.432934350231i</v>
      </c>
      <c r="L130" s="68">
        <f t="shared" si="19"/>
        <v>42.966648933164848</v>
      </c>
      <c r="M130" s="67">
        <f t="shared" si="9"/>
        <v>93.611825153582046</v>
      </c>
      <c r="N130" s="67"/>
      <c r="O130" s="67"/>
      <c r="P130" s="67"/>
      <c r="Q130" s="68">
        <f t="shared" si="2"/>
        <v>42600.91485831813</v>
      </c>
      <c r="R130" s="68">
        <f t="shared" si="10"/>
        <v>92.588378514285864</v>
      </c>
      <c r="S130" s="67" t="str">
        <f t="shared" si="11"/>
        <v>1.24753477149874-18.1308068439372i</v>
      </c>
      <c r="T130" s="67">
        <f t="shared" si="12"/>
        <v>25.188855629929275</v>
      </c>
      <c r="U130" s="67">
        <f t="shared" si="13"/>
        <v>-86.06382699767444</v>
      </c>
      <c r="V130" s="67" t="str">
        <f t="shared" si="14"/>
        <v>8.99350756189958-141.974190828789i</v>
      </c>
      <c r="W130" s="68">
        <f t="shared" si="15"/>
        <v>43.06158021446975</v>
      </c>
      <c r="X130" s="67">
        <f t="shared" si="16"/>
        <v>93.624619650510766</v>
      </c>
      <c r="Y130" s="67"/>
    </row>
    <row r="131" spans="1:25">
      <c r="A131" s="67">
        <v>2.4</v>
      </c>
      <c r="B131" s="68">
        <f t="shared" si="3"/>
        <v>251.18864315095806</v>
      </c>
      <c r="C131" s="68">
        <f t="shared" si="4"/>
        <v>1578.2647919764759</v>
      </c>
      <c r="D131" s="68" t="str">
        <f t="shared" si="5"/>
        <v>1578.26479197648i</v>
      </c>
      <c r="E131" s="69" t="str">
        <f t="shared" si="0"/>
        <v>7.82851902009761-0.0535984749299033i</v>
      </c>
      <c r="F131" s="68">
        <f t="shared" si="6"/>
        <v>17.873795794217841</v>
      </c>
      <c r="G131" s="67">
        <f t="shared" si="7"/>
        <v>-0.392273227024801</v>
      </c>
      <c r="H131" s="67" t="str">
        <f t="shared" si="8"/>
        <v>1.22997527762805-14.2384050987725i</v>
      </c>
      <c r="I131" s="67">
        <f t="shared" si="1"/>
        <v>23.101514739040461</v>
      </c>
      <c r="J131" s="67">
        <f t="shared" si="17"/>
        <v>-85.062798241452541</v>
      </c>
      <c r="K131" s="67" t="str">
        <f t="shared" si="18"/>
        <v>8.86572805643266-111.531549930678i</v>
      </c>
      <c r="L131" s="68">
        <f t="shared" si="19"/>
        <v>40.975310533258323</v>
      </c>
      <c r="M131" s="67">
        <f t="shared" si="9"/>
        <v>94.544928531522643</v>
      </c>
      <c r="N131" s="67"/>
      <c r="O131" s="67"/>
      <c r="P131" s="67"/>
      <c r="Q131" s="68">
        <f t="shared" si="2"/>
        <v>33839.109497047262</v>
      </c>
      <c r="R131" s="68">
        <f t="shared" si="10"/>
        <v>90.58837851428585</v>
      </c>
      <c r="S131" s="67" t="str">
        <f t="shared" si="11"/>
        <v>1.24753682854998-14.3939816540228i</v>
      </c>
      <c r="T131" s="67">
        <f t="shared" si="12"/>
        <v>23.196120372419024</v>
      </c>
      <c r="U131" s="67">
        <f t="shared" si="13"/>
        <v>-85.046511718678929</v>
      </c>
      <c r="V131" s="67" t="str">
        <f t="shared" si="14"/>
        <v>8.99487032575114-112.750425224883i</v>
      </c>
      <c r="W131" s="68">
        <f t="shared" si="15"/>
        <v>41.069916166636887</v>
      </c>
      <c r="X131" s="67">
        <f t="shared" si="16"/>
        <v>94.561215054296241</v>
      </c>
      <c r="Y131" s="67"/>
    </row>
    <row r="132" spans="1:25">
      <c r="A132" s="67">
        <v>2.5</v>
      </c>
      <c r="B132" s="68">
        <f t="shared" si="3"/>
        <v>316.22776601683825</v>
      </c>
      <c r="C132" s="68">
        <f t="shared" si="4"/>
        <v>1986.917653159222</v>
      </c>
      <c r="D132" s="68" t="str">
        <f t="shared" si="5"/>
        <v>1986.91765315922i</v>
      </c>
      <c r="E132" s="69" t="str">
        <f t="shared" si="0"/>
        <v>7.82994209040767-0.0675032204422488i</v>
      </c>
      <c r="F132" s="68">
        <f t="shared" si="6"/>
        <v>17.875493776412817</v>
      </c>
      <c r="G132" s="67">
        <f t="shared" si="7"/>
        <v>-0.49394411531375548</v>
      </c>
      <c r="H132" s="67" t="str">
        <f t="shared" si="8"/>
        <v>1.22998443003125-11.301054559652i</v>
      </c>
      <c r="I132" s="67">
        <f t="shared" si="1"/>
        <v>21.113522401787968</v>
      </c>
      <c r="J132" s="67">
        <f t="shared" si="17"/>
        <v>-83.788490254985888</v>
      </c>
      <c r="K132" s="67" t="str">
        <f t="shared" si="18"/>
        <v>8.8678492820777-88.5696306727336i</v>
      </c>
      <c r="L132" s="68">
        <f t="shared" si="19"/>
        <v>38.989016178200785</v>
      </c>
      <c r="M132" s="67">
        <f t="shared" si="9"/>
        <v>95.71756562970036</v>
      </c>
      <c r="N132" s="67"/>
      <c r="O132" s="67"/>
      <c r="P132" s="67"/>
      <c r="Q132" s="68">
        <f t="shared" si="2"/>
        <v>26879.360111431197</v>
      </c>
      <c r="R132" s="68">
        <f t="shared" si="10"/>
        <v>88.588378514285836</v>
      </c>
      <c r="S132" s="67" t="str">
        <f t="shared" si="11"/>
        <v>1.24754008875639-11.4236884756052i</v>
      </c>
      <c r="T132" s="67">
        <f t="shared" si="12"/>
        <v>21.207614751948547</v>
      </c>
      <c r="U132" s="67">
        <f t="shared" si="13"/>
        <v>-83.767630729107424</v>
      </c>
      <c r="V132" s="67" t="str">
        <f t="shared" si="14"/>
        <v>8.99703088899222-89.531032196468i</v>
      </c>
      <c r="W132" s="68">
        <f t="shared" si="15"/>
        <v>39.083108528361365</v>
      </c>
      <c r="X132" s="67">
        <f t="shared" si="16"/>
        <v>95.738425155578824</v>
      </c>
      <c r="Y132" s="67"/>
    </row>
    <row r="133" spans="1:25">
      <c r="A133" s="67">
        <v>2.6</v>
      </c>
      <c r="B133" s="68">
        <f t="shared" si="3"/>
        <v>398.10717055349761</v>
      </c>
      <c r="C133" s="68">
        <f t="shared" si="4"/>
        <v>2501.3811247045737</v>
      </c>
      <c r="D133" s="68" t="str">
        <f t="shared" si="5"/>
        <v>2501.38112470457i</v>
      </c>
      <c r="E133" s="69" t="str">
        <f t="shared" si="0"/>
        <v>7.83219837133667-0.0850349081535973i</v>
      </c>
      <c r="F133" s="68">
        <f t="shared" si="6"/>
        <v>17.878185472887502</v>
      </c>
      <c r="G133" s="67">
        <f t="shared" si="7"/>
        <v>-0.62204118104364137</v>
      </c>
      <c r="H133" s="67" t="str">
        <f t="shared" si="8"/>
        <v>1.22999893560299-8.96552639476175i</v>
      </c>
      <c r="I133" s="67">
        <f t="shared" si="1"/>
        <v>19.132497556278352</v>
      </c>
      <c r="J133" s="67">
        <f t="shared" si="17"/>
        <v>-82.18824110952238</v>
      </c>
      <c r="K133" s="67" t="str">
        <f t="shared" si="18"/>
        <v>8.87121294664836-70.3243740737469i</v>
      </c>
      <c r="L133" s="68">
        <f t="shared" si="19"/>
        <v>37.010683029165854</v>
      </c>
      <c r="M133" s="67">
        <f t="shared" si="9"/>
        <v>97.189717709433978</v>
      </c>
      <c r="N133" s="67"/>
      <c r="O133" s="67"/>
      <c r="P133" s="67"/>
      <c r="Q133" s="68">
        <f t="shared" si="2"/>
        <v>21351.034667831413</v>
      </c>
      <c r="R133" s="68">
        <f t="shared" si="10"/>
        <v>86.58837851428585</v>
      </c>
      <c r="S133" s="67" t="str">
        <f t="shared" si="11"/>
        <v>1.24754525583504-9.06174836620269i</v>
      </c>
      <c r="T133" s="67">
        <f t="shared" si="12"/>
        <v>19.225783469189551</v>
      </c>
      <c r="U133" s="67">
        <f t="shared" si="13"/>
        <v>-82.161275066010532</v>
      </c>
      <c r="V133" s="67" t="str">
        <f t="shared" si="14"/>
        <v>9.00045698088893-71.0794956914828i</v>
      </c>
      <c r="W133" s="68">
        <f t="shared" si="15"/>
        <v>37.103968942077053</v>
      </c>
      <c r="X133" s="67">
        <f t="shared" si="16"/>
        <v>97.216683752945812</v>
      </c>
      <c r="Y133" s="67"/>
    </row>
    <row r="134" spans="1:25">
      <c r="A134" s="67">
        <v>2.7</v>
      </c>
      <c r="B134" s="68">
        <f t="shared" si="3"/>
        <v>501.18723362727269</v>
      </c>
      <c r="C134" s="68">
        <f t="shared" si="4"/>
        <v>3149.0522624728624</v>
      </c>
      <c r="D134" s="68" t="str">
        <f t="shared" si="5"/>
        <v>3149.05226247286i</v>
      </c>
      <c r="E134" s="69" t="str">
        <f t="shared" si="0"/>
        <v>7.83577651317417-0.107159253155443i</v>
      </c>
      <c r="F134" s="68">
        <f t="shared" si="6"/>
        <v>17.882452971900761</v>
      </c>
      <c r="G134" s="67">
        <f t="shared" si="7"/>
        <v>-0.78350757125269033</v>
      </c>
      <c r="H134" s="67" t="str">
        <f t="shared" si="8"/>
        <v>1.23002192536028-7.10744522215502i</v>
      </c>
      <c r="I134" s="67">
        <f t="shared" si="1"/>
        <v>17.162432377860377</v>
      </c>
      <c r="J134" s="67">
        <f t="shared" si="17"/>
        <v>-80.181582432334054</v>
      </c>
      <c r="K134" s="67" t="str">
        <f t="shared" si="18"/>
        <v>8.876548391578-55.8241605713207i</v>
      </c>
      <c r="L134" s="68">
        <f t="shared" si="19"/>
        <v>35.044885349761131</v>
      </c>
      <c r="M134" s="67">
        <f t="shared" si="9"/>
        <v>99.034909996413262</v>
      </c>
      <c r="N134" s="67"/>
      <c r="O134" s="67"/>
      <c r="P134" s="67"/>
      <c r="Q134" s="68">
        <f t="shared" si="2"/>
        <v>16959.729677235464</v>
      </c>
      <c r="R134" s="68">
        <f t="shared" si="10"/>
        <v>84.58837851428585</v>
      </c>
      <c r="S134" s="67" t="str">
        <f t="shared" si="11"/>
        <v>1.24755344510205-7.18237940312478i</v>
      </c>
      <c r="T134" s="67">
        <f t="shared" si="12"/>
        <v>17.254457689480745</v>
      </c>
      <c r="U134" s="67">
        <f t="shared" si="13"/>
        <v>-80.146241848195174</v>
      </c>
      <c r="V134" s="67" t="str">
        <f t="shared" si="14"/>
        <v>9.00589157134228-56.4132067311597i</v>
      </c>
      <c r="W134" s="68">
        <f t="shared" si="15"/>
        <v>35.136910661381506</v>
      </c>
      <c r="X134" s="67">
        <f t="shared" si="16"/>
        <v>99.070250580552127</v>
      </c>
      <c r="Y134" s="67"/>
    </row>
    <row r="135" spans="1:25">
      <c r="A135" s="67">
        <v>2.8</v>
      </c>
      <c r="B135" s="68">
        <f t="shared" si="3"/>
        <v>630.95734448019323</v>
      </c>
      <c r="C135" s="68">
        <f t="shared" si="4"/>
        <v>3964.4219162949989</v>
      </c>
      <c r="D135" s="68" t="str">
        <f t="shared" si="5"/>
        <v>3964.421916295i</v>
      </c>
      <c r="E135" s="69" t="str">
        <f t="shared" si="0"/>
        <v>7.84145295974676-0.135118681616437i</v>
      </c>
      <c r="F135" s="68">
        <f t="shared" si="6"/>
        <v>17.889220140674276</v>
      </c>
      <c r="G135" s="67">
        <f t="shared" si="7"/>
        <v>-0.98718491897190941</v>
      </c>
      <c r="H135" s="67" t="str">
        <f t="shared" si="8"/>
        <v>1.23005836160829-5.62786146257918i</v>
      </c>
      <c r="I135" s="67">
        <f t="shared" si="1"/>
        <v>15.209531842208788</v>
      </c>
      <c r="J135" s="67">
        <f t="shared" si="17"/>
        <v>-77.670981936953751</v>
      </c>
      <c r="K135" s="67" t="str">
        <f t="shared" si="18"/>
        <v>8.88501555915093-44.296814786918i</v>
      </c>
      <c r="L135" s="68">
        <f t="shared" si="19"/>
        <v>33.098751982883059</v>
      </c>
      <c r="M135" s="67">
        <f t="shared" si="9"/>
        <v>101.34183314407434</v>
      </c>
      <c r="N135" s="67"/>
      <c r="O135" s="67"/>
      <c r="P135" s="67"/>
      <c r="Q135" s="68">
        <f t="shared" si="2"/>
        <v>13471.592135919465</v>
      </c>
      <c r="R135" s="68">
        <f t="shared" si="10"/>
        <v>82.588378514285864</v>
      </c>
      <c r="S135" s="67" t="str">
        <f t="shared" si="11"/>
        <v>1.24756642421378-5.68549833791653i</v>
      </c>
      <c r="T135" s="67">
        <f t="shared" si="12"/>
        <v>15.299602364384926</v>
      </c>
      <c r="U135" s="67">
        <f t="shared" si="13"/>
        <v>-77.623759893602667</v>
      </c>
      <c r="V135" s="67" t="str">
        <f t="shared" si="14"/>
        <v>9.0145163898801-44.7511372999596i</v>
      </c>
      <c r="W135" s="68">
        <f t="shared" si="15"/>
        <v>33.188822505059214</v>
      </c>
      <c r="X135" s="67">
        <f t="shared" si="16"/>
        <v>101.38905518742541</v>
      </c>
      <c r="Y135" s="67"/>
    </row>
    <row r="136" spans="1:25">
      <c r="A136" s="67">
        <v>2.9</v>
      </c>
      <c r="B136" s="68">
        <f t="shared" si="3"/>
        <v>794.32823472428208</v>
      </c>
      <c r="C136" s="68">
        <f t="shared" si="4"/>
        <v>4990.9114934975069</v>
      </c>
      <c r="D136" s="68" t="str">
        <f t="shared" si="5"/>
        <v>4990.91149349751i</v>
      </c>
      <c r="E136" s="69" t="str">
        <f t="shared" si="0"/>
        <v>7.85046328774654-0.170530909415293i</v>
      </c>
      <c r="F136" s="68">
        <f t="shared" si="6"/>
        <v>17.899954529984853</v>
      </c>
      <c r="G136" s="67">
        <f t="shared" si="7"/>
        <v>-1.2444061774545143</v>
      </c>
      <c r="H136" s="67" t="str">
        <f t="shared" si="8"/>
        <v>1.23011610901445-4.44798192285029i</v>
      </c>
      <c r="I136" s="67">
        <f t="shared" si="1"/>
        <v>13.283332931004699</v>
      </c>
      <c r="J136" s="67">
        <f t="shared" si="17"/>
        <v>-74.540897403507898</v>
      </c>
      <c r="K136" s="67" t="str">
        <f t="shared" si="18"/>
        <v>8.89846295111712-35.1284916086531i</v>
      </c>
      <c r="L136" s="68">
        <f t="shared" si="19"/>
        <v>31.183287460989551</v>
      </c>
      <c r="M136" s="67">
        <f t="shared" si="9"/>
        <v>104.21469641903759</v>
      </c>
      <c r="N136" s="67"/>
      <c r="O136" s="67"/>
      <c r="P136" s="67"/>
      <c r="Q136" s="68">
        <f t="shared" si="2"/>
        <v>10700.866000250413</v>
      </c>
      <c r="R136" s="68">
        <f t="shared" si="10"/>
        <v>80.58837851428585</v>
      </c>
      <c r="S136" s="67" t="str">
        <f t="shared" si="11"/>
        <v>1.24758699471495-4.49139079940651i</v>
      </c>
      <c r="T136" s="67">
        <f t="shared" si="12"/>
        <v>13.370410315168291</v>
      </c>
      <c r="U136" s="67">
        <f t="shared" si="13"/>
        <v>-74.476144346433856</v>
      </c>
      <c r="V136" s="67" t="str">
        <f t="shared" si="14"/>
        <v>9.02821494271748-35.4722507264468i</v>
      </c>
      <c r="W136" s="68">
        <f t="shared" si="15"/>
        <v>31.270364845153139</v>
      </c>
      <c r="X136" s="67">
        <f t="shared" si="16"/>
        <v>104.27944947611164</v>
      </c>
      <c r="Y136" s="67"/>
    </row>
    <row r="137" spans="1:25">
      <c r="A137" s="67">
        <v>3</v>
      </c>
      <c r="B137" s="68">
        <f t="shared" si="3"/>
        <v>1000</v>
      </c>
      <c r="C137" s="68">
        <f t="shared" si="4"/>
        <v>6283.1853071795858</v>
      </c>
      <c r="D137" s="68" t="str">
        <f t="shared" si="5"/>
        <v>6283.18530717959i</v>
      </c>
      <c r="E137" s="69" t="str">
        <f t="shared" si="0"/>
        <v>7.86477834091862-0.215540711382206i</v>
      </c>
      <c r="F137" s="68">
        <f t="shared" si="6"/>
        <v>17.91699041206633</v>
      </c>
      <c r="G137" s="67">
        <f t="shared" si="7"/>
        <v>-1.5698449590852914</v>
      </c>
      <c r="H137" s="67" t="str">
        <f t="shared" si="8"/>
        <v>1.23020763209535-3.50497378953383i</v>
      </c>
      <c r="I137" s="67">
        <f t="shared" si="1"/>
        <v>11.398240749070641</v>
      </c>
      <c r="J137" s="67">
        <f t="shared" si="17"/>
        <v>-70.659482190917444</v>
      </c>
      <c r="K137" s="67" t="str">
        <f t="shared" si="18"/>
        <v>8.91984579576418-27.8310017735828i</v>
      </c>
      <c r="L137" s="68">
        <f t="shared" si="19"/>
        <v>29.315231161136971</v>
      </c>
      <c r="M137" s="67">
        <f t="shared" si="9"/>
        <v>107.77067284999725</v>
      </c>
      <c r="N137" s="67"/>
      <c r="O137" s="67"/>
      <c r="P137" s="67"/>
      <c r="Q137" s="68">
        <f t="shared" si="2"/>
        <v>8500</v>
      </c>
      <c r="R137" s="68">
        <f t="shared" si="10"/>
        <v>78.588378514285864</v>
      </c>
      <c r="S137" s="67" t="str">
        <f t="shared" si="11"/>
        <v>1.24761959675057-3.53646621472595i</v>
      </c>
      <c r="T137" s="67">
        <f t="shared" si="12"/>
        <v>11.480825456193882</v>
      </c>
      <c r="U137" s="67">
        <f t="shared" si="13"/>
        <v>-70.567816533044052</v>
      </c>
      <c r="V137" s="67" t="str">
        <f t="shared" si="14"/>
        <v>9.04999913852834-28.0824357043851i</v>
      </c>
      <c r="W137" s="68">
        <f t="shared" si="15"/>
        <v>29.39781586826021</v>
      </c>
      <c r="X137" s="67">
        <f t="shared" si="16"/>
        <v>107.86233850787067</v>
      </c>
      <c r="Y137" s="67"/>
    </row>
    <row r="138" spans="1:25">
      <c r="A138" s="67">
        <v>3.1</v>
      </c>
      <c r="B138" s="68">
        <f t="shared" si="3"/>
        <v>1258.925411794168</v>
      </c>
      <c r="C138" s="68">
        <f t="shared" si="4"/>
        <v>7910.0616502201265</v>
      </c>
      <c r="D138" s="68" t="str">
        <f t="shared" si="5"/>
        <v>7910.06165022013i</v>
      </c>
      <c r="E138" s="69" t="str">
        <f t="shared" si="0"/>
        <v>7.88755345860701-0.273068092332677i</v>
      </c>
      <c r="F138" s="68">
        <f t="shared" si="6"/>
        <v>17.944048447748052</v>
      </c>
      <c r="G138" s="67">
        <f t="shared" si="7"/>
        <v>-1.9827951810223532</v>
      </c>
      <c r="H138" s="67" t="str">
        <f t="shared" si="8"/>
        <v>1.23035268542357-2.7486185894966i</v>
      </c>
      <c r="I138" s="67">
        <f t="shared" si="1"/>
        <v>9.5754368871796522</v>
      </c>
      <c r="J138" s="67">
        <f t="shared" si="17"/>
        <v>-65.88547758655433</v>
      </c>
      <c r="K138" s="67" t="str">
        <f t="shared" si="18"/>
        <v>8.95391254443513-22.0158461226804i</v>
      </c>
      <c r="L138" s="68">
        <f t="shared" si="19"/>
        <v>27.519485334927694</v>
      </c>
      <c r="M138" s="67">
        <f t="shared" si="9"/>
        <v>112.13172723242334</v>
      </c>
      <c r="N138" s="67"/>
      <c r="O138" s="67"/>
      <c r="P138" s="67"/>
      <c r="Q138" s="68">
        <f t="shared" si="2"/>
        <v>6751.7899951563886</v>
      </c>
      <c r="R138" s="68">
        <f t="shared" si="10"/>
        <v>76.58837851428585</v>
      </c>
      <c r="S138" s="67" t="str">
        <f t="shared" si="11"/>
        <v>1.24767126746563-2.76987138333717i</v>
      </c>
      <c r="T138" s="67">
        <f t="shared" si="12"/>
        <v>9.651485788986081</v>
      </c>
      <c r="U138" s="67">
        <f t="shared" si="13"/>
        <v>-65.751114490580036</v>
      </c>
      <c r="V138" s="67" t="str">
        <f t="shared" si="14"/>
        <v>9.08471032624837-22.1882078224028i</v>
      </c>
      <c r="W138" s="68">
        <f t="shared" si="15"/>
        <v>27.595534236734132</v>
      </c>
      <c r="X138" s="67">
        <f t="shared" si="16"/>
        <v>112.26609032839762</v>
      </c>
      <c r="Y138" s="67"/>
    </row>
    <row r="139" spans="1:25">
      <c r="A139" s="67">
        <v>3.2</v>
      </c>
      <c r="B139" s="68">
        <f t="shared" si="3"/>
        <v>1584.8931924611156</v>
      </c>
      <c r="C139" s="68">
        <f t="shared" si="4"/>
        <v>9958.17762032063</v>
      </c>
      <c r="D139" s="68" t="str">
        <f t="shared" si="5"/>
        <v>9958.17762032063i</v>
      </c>
      <c r="E139" s="69" t="str">
        <f t="shared" si="0"/>
        <v>7.92386987894452-0.347240833462972i</v>
      </c>
      <c r="F139" s="68">
        <f t="shared" si="6"/>
        <v>17.98707880546193</v>
      </c>
      <c r="G139" s="67">
        <f t="shared" si="7"/>
        <v>-2.5092175413973221</v>
      </c>
      <c r="H139" s="67" t="str">
        <f t="shared" si="8"/>
        <v>1.23058257699528-2.13863794688883i</v>
      </c>
      <c r="I139" s="67">
        <f t="shared" si="1"/>
        <v>7.844821872578426</v>
      </c>
      <c r="J139" s="67">
        <f t="shared" si="17"/>
        <v>-60.083670063690732</v>
      </c>
      <c r="K139" s="67" t="str">
        <f t="shared" si="18"/>
        <v>9.00835379225361-17.373597329001i</v>
      </c>
      <c r="L139" s="68">
        <f t="shared" si="19"/>
        <v>25.831900678040356</v>
      </c>
      <c r="M139" s="67">
        <f t="shared" si="9"/>
        <v>117.40711239491196</v>
      </c>
      <c r="N139" s="67"/>
      <c r="O139" s="67"/>
      <c r="P139" s="67"/>
      <c r="Q139" s="68">
        <f t="shared" si="2"/>
        <v>5363.1374280816353</v>
      </c>
      <c r="R139" s="68">
        <f t="shared" si="10"/>
        <v>74.58837851428585</v>
      </c>
      <c r="S139" s="67" t="str">
        <f t="shared" si="11"/>
        <v>1.2477531599567-2.15078236648521i</v>
      </c>
      <c r="T139" s="67">
        <f t="shared" si="12"/>
        <v>7.911818783173926</v>
      </c>
      <c r="U139" s="67">
        <f t="shared" si="13"/>
        <v>-59.880299286569645</v>
      </c>
      <c r="V139" s="67" t="str">
        <f t="shared" si="14"/>
        <v>9.14019421900295-17.4757904571766i</v>
      </c>
      <c r="W139" s="68">
        <f t="shared" si="15"/>
        <v>25.898897588635855</v>
      </c>
      <c r="X139" s="67">
        <f t="shared" si="16"/>
        <v>117.61048317203301</v>
      </c>
      <c r="Y139" s="67"/>
    </row>
    <row r="140" spans="1:25">
      <c r="A140" s="67">
        <v>3.3</v>
      </c>
      <c r="B140" s="68">
        <f t="shared" si="3"/>
        <v>1995.2623149688804</v>
      </c>
      <c r="C140" s="68">
        <f t="shared" si="4"/>
        <v>12536.602861381598</v>
      </c>
      <c r="D140" s="68" t="str">
        <f t="shared" si="5"/>
        <v>12536.6028613816i</v>
      </c>
      <c r="E140" s="69" t="str">
        <f t="shared" si="0"/>
        <v>7.98198495928967-0.444199055160949i</v>
      </c>
      <c r="F140" s="68">
        <f t="shared" si="6"/>
        <v>18.055647177983502</v>
      </c>
      <c r="G140" s="67">
        <f t="shared" si="7"/>
        <v>-3.185236103215316</v>
      </c>
      <c r="H140" s="67" t="str">
        <f t="shared" si="8"/>
        <v>1.23094692440134-1.6425487599952i</v>
      </c>
      <c r="I140" s="67">
        <f t="shared" si="1"/>
        <v>6.246117414997455</v>
      </c>
      <c r="J140" s="67">
        <f t="shared" si="17"/>
        <v>-53.151643784868952</v>
      </c>
      <c r="K140" s="67" t="str">
        <f t="shared" si="18"/>
        <v>9.09578122900972-13.6575849579539i</v>
      </c>
      <c r="L140" s="68">
        <f t="shared" si="19"/>
        <v>24.301764592980941</v>
      </c>
      <c r="M140" s="67">
        <f t="shared" si="9"/>
        <v>123.66312011191579</v>
      </c>
      <c r="N140" s="67"/>
      <c r="O140" s="67"/>
      <c r="P140" s="67"/>
      <c r="Q140" s="68">
        <f t="shared" si="2"/>
        <v>4260.0914858318129</v>
      </c>
      <c r="R140" s="68">
        <f t="shared" si="10"/>
        <v>72.58837851428585</v>
      </c>
      <c r="S140" s="67" t="str">
        <f t="shared" si="11"/>
        <v>1.24788295062371-1.64623047919161i</v>
      </c>
      <c r="T140" s="67">
        <f t="shared" si="12"/>
        <v>6.3015181697015503</v>
      </c>
      <c r="U140" s="67">
        <f t="shared" si="13"/>
        <v>-52.836983049167713</v>
      </c>
      <c r="V140" s="67" t="str">
        <f t="shared" si="14"/>
        <v>9.2293289193984-13.6944953520502i</v>
      </c>
      <c r="W140" s="68">
        <f t="shared" si="15"/>
        <v>24.357165347685065</v>
      </c>
      <c r="X140" s="67">
        <f t="shared" si="16"/>
        <v>123.97778084761691</v>
      </c>
      <c r="Y140" s="67"/>
    </row>
    <row r="141" spans="1:25">
      <c r="A141" s="67">
        <v>3.4</v>
      </c>
      <c r="B141" s="68">
        <f t="shared" si="3"/>
        <v>2511.8864315095811</v>
      </c>
      <c r="C141" s="68">
        <f t="shared" si="4"/>
        <v>15782.647919764762</v>
      </c>
      <c r="D141" s="68" t="str">
        <f t="shared" si="5"/>
        <v>15782.6479197648i</v>
      </c>
      <c r="E141" s="69" t="str">
        <f t="shared" si="0"/>
        <v>8.07550737211831-0.573695544456163i</v>
      </c>
      <c r="F141" s="68">
        <f t="shared" si="6"/>
        <v>18.165259572955559</v>
      </c>
      <c r="G141" s="67">
        <f t="shared" si="7"/>
        <v>-4.0635468672975534</v>
      </c>
      <c r="H141" s="67" t="str">
        <f t="shared" si="8"/>
        <v>1.2315243605995-1.23393365137819i</v>
      </c>
      <c r="I141" s="67">
        <f t="shared" si="1"/>
        <v>4.8276564040976382</v>
      </c>
      <c r="J141" s="67">
        <f t="shared" si="17"/>
        <v>-45.055990468556644</v>
      </c>
      <c r="K141" s="67" t="str">
        <f t="shared" si="18"/>
        <v>9.23728181501436-10.6711603369746i</v>
      </c>
      <c r="L141" s="68">
        <f t="shared" si="19"/>
        <v>22.992915977053197</v>
      </c>
      <c r="M141" s="67">
        <f t="shared" si="9"/>
        <v>130.8804626641458</v>
      </c>
      <c r="N141" s="67"/>
      <c r="O141" s="67"/>
      <c r="P141" s="67"/>
      <c r="Q141" s="68">
        <f t="shared" si="2"/>
        <v>3383.9109497047252</v>
      </c>
      <c r="R141" s="68">
        <f t="shared" si="10"/>
        <v>70.58837851428585</v>
      </c>
      <c r="S141" s="67" t="str">
        <f t="shared" si="11"/>
        <v>1.24808865450459-1.2293466186796i</v>
      </c>
      <c r="T141" s="67">
        <f t="shared" si="12"/>
        <v>4.8699949197798134</v>
      </c>
      <c r="U141" s="67">
        <f t="shared" si="13"/>
        <v>-44.566560192688236</v>
      </c>
      <c r="V141" s="67" t="str">
        <f t="shared" si="14"/>
        <v>9.3736784527803-10.6436205822114i</v>
      </c>
      <c r="W141" s="68">
        <f t="shared" si="15"/>
        <v>23.035254492735369</v>
      </c>
      <c r="X141" s="67">
        <f t="shared" si="16"/>
        <v>131.36989294001418</v>
      </c>
      <c r="Y141" s="67"/>
    </row>
    <row r="142" spans="1:25">
      <c r="A142" s="67">
        <v>3.5</v>
      </c>
      <c r="B142" s="68">
        <f t="shared" si="3"/>
        <v>3162.2776601683804</v>
      </c>
      <c r="C142" s="68">
        <f t="shared" si="4"/>
        <v>19869.176531592209</v>
      </c>
      <c r="D142" s="68" t="str">
        <f t="shared" si="5"/>
        <v>19869.1765315922i</v>
      </c>
      <c r="E142" s="69" t="str">
        <f t="shared" si="0"/>
        <v>8.2273495518608-0.752522593666421i</v>
      </c>
      <c r="F142" s="68">
        <f t="shared" si="6"/>
        <v>18.341381035292123</v>
      </c>
      <c r="G142" s="67">
        <f t="shared" si="7"/>
        <v>-5.2260732024978402</v>
      </c>
      <c r="H142" s="67" t="str">
        <f t="shared" si="8"/>
        <v>1.232439496303-0.891034732249871i</v>
      </c>
      <c r="I142" s="67">
        <f t="shared" si="1"/>
        <v>3.6414746864383032</v>
      </c>
      <c r="J142" s="67">
        <f t="shared" si="17"/>
        <v>-35.866348431783358</v>
      </c>
      <c r="K142" s="67" t="str">
        <f t="shared" si="18"/>
        <v>9.4691867698445-8.25829277136326i</v>
      </c>
      <c r="L142" s="68">
        <f t="shared" si="19"/>
        <v>21.982855721730431</v>
      </c>
      <c r="M142" s="67">
        <f t="shared" si="9"/>
        <v>138.90757836571879</v>
      </c>
      <c r="N142" s="67"/>
      <c r="O142" s="67"/>
      <c r="P142" s="67"/>
      <c r="Q142" s="68">
        <f t="shared" si="2"/>
        <v>2687.9360111431215</v>
      </c>
      <c r="R142" s="68">
        <f t="shared" si="10"/>
        <v>68.58837851428585</v>
      </c>
      <c r="S142" s="67" t="str">
        <f t="shared" si="11"/>
        <v>1.24841467202032-0.877930448767135i</v>
      </c>
      <c r="T142" s="67">
        <f t="shared" si="12"/>
        <v>3.6722562547494668</v>
      </c>
      <c r="U142" s="67">
        <f t="shared" si="13"/>
        <v>-35.116276254180626</v>
      </c>
      <c r="V142" s="67" t="str">
        <f t="shared" si="14"/>
        <v>9.61048139401786-8.16250093118919i</v>
      </c>
      <c r="W142" s="68">
        <f t="shared" si="15"/>
        <v>22.013637290041594</v>
      </c>
      <c r="X142" s="67">
        <f t="shared" si="16"/>
        <v>139.65765054332152</v>
      </c>
      <c r="Y142" s="67"/>
    </row>
    <row r="143" spans="1:25">
      <c r="A143" s="67">
        <v>3.6</v>
      </c>
      <c r="B143" s="68">
        <f t="shared" si="3"/>
        <v>3981.0717055349769</v>
      </c>
      <c r="C143" s="68">
        <f t="shared" si="4"/>
        <v>25013.811247045742</v>
      </c>
      <c r="D143" s="68" t="str">
        <f t="shared" si="5"/>
        <v>25013.8112470457i</v>
      </c>
      <c r="E143" s="69" t="str">
        <f t="shared" si="0"/>
        <v>8.47732363851991-1.01253167215359i</v>
      </c>
      <c r="F143" s="68">
        <f t="shared" si="6"/>
        <v>18.626693591024036</v>
      </c>
      <c r="G143" s="67">
        <f t="shared" si="7"/>
        <v>-6.8111420695196054</v>
      </c>
      <c r="H143" s="67" t="str">
        <f t="shared" si="8"/>
        <v>1.23388979070383-0.595596084638856i</v>
      </c>
      <c r="I143" s="67">
        <f t="shared" si="1"/>
        <v>2.7351487449934191</v>
      </c>
      <c r="J143" s="67">
        <f t="shared" si="17"/>
        <v>-25.766508860558421</v>
      </c>
      <c r="K143" s="67" t="str">
        <f t="shared" si="18"/>
        <v>9.85702319055445-6.29841326035347i</v>
      </c>
      <c r="L143" s="68">
        <f t="shared" si="19"/>
        <v>21.361842336017457</v>
      </c>
      <c r="M143" s="67">
        <f t="shared" si="9"/>
        <v>147.42234906992198</v>
      </c>
      <c r="N143" s="67"/>
      <c r="O143" s="67"/>
      <c r="P143" s="67"/>
      <c r="Q143" s="68">
        <f t="shared" si="2"/>
        <v>2135.1034667831409</v>
      </c>
      <c r="R143" s="68">
        <f t="shared" si="10"/>
        <v>66.58837851428585</v>
      </c>
      <c r="S143" s="67" t="str">
        <f t="shared" si="11"/>
        <v>1.24893137203595-0.573268274904015i</v>
      </c>
      <c r="T143" s="67">
        <f t="shared" si="12"/>
        <v>2.761091902056942</v>
      </c>
      <c r="U143" s="67">
        <f t="shared" si="13"/>
        <v>-24.65545543706175</v>
      </c>
      <c r="V143" s="67" t="str">
        <f t="shared" si="14"/>
        <v>10.0071431580683-6.12436326858997i</v>
      </c>
      <c r="W143" s="68">
        <f t="shared" si="15"/>
        <v>21.38778549308098</v>
      </c>
      <c r="X143" s="67">
        <f t="shared" si="16"/>
        <v>148.53340249341866</v>
      </c>
      <c r="Y143" s="67"/>
    </row>
    <row r="144" spans="1:25">
      <c r="A144" s="67">
        <v>3.7</v>
      </c>
      <c r="B144" s="68">
        <f t="shared" si="3"/>
        <v>5011.8723362727324</v>
      </c>
      <c r="C144" s="68">
        <f t="shared" si="4"/>
        <v>31490.522624728659</v>
      </c>
      <c r="D144" s="68" t="str">
        <f t="shared" si="5"/>
        <v>31490.5226247287i</v>
      </c>
      <c r="E144" s="69" t="str">
        <f t="shared" si="0"/>
        <v>8.89768005310964-1.42170005848034i</v>
      </c>
      <c r="F144" s="68">
        <f t="shared" si="6"/>
        <v>19.095022278605637</v>
      </c>
      <c r="G144" s="67">
        <f t="shared" si="7"/>
        <v>-9.0781665216400071</v>
      </c>
      <c r="H144" s="67" t="str">
        <f t="shared" si="8"/>
        <v>1.23618810642878-0.331893899056584i</v>
      </c>
      <c r="I144" s="67">
        <f t="shared" si="1"/>
        <v>2.1439730012687956</v>
      </c>
      <c r="J144" s="67">
        <f t="shared" si="17"/>
        <v>-15.028463469559386</v>
      </c>
      <c r="K144" s="67" t="str">
        <f t="shared" si="18"/>
        <v>10.5273526807647-4.71057442858705i</v>
      </c>
      <c r="L144" s="68">
        <f t="shared" si="19"/>
        <v>21.238995279874416</v>
      </c>
      <c r="M144" s="67">
        <f t="shared" si="9"/>
        <v>155.89337000880056</v>
      </c>
      <c r="N144" s="67"/>
      <c r="O144" s="67"/>
      <c r="P144" s="67"/>
      <c r="Q144" s="68">
        <f t="shared" si="2"/>
        <v>1695.9729677235443</v>
      </c>
      <c r="R144" s="68">
        <f t="shared" si="10"/>
        <v>64.588378514285836</v>
      </c>
      <c r="S144" s="67" t="str">
        <f t="shared" si="11"/>
        <v>1.24975027902433-0.299136718889757i</v>
      </c>
      <c r="T144" s="67">
        <f t="shared" si="12"/>
        <v>2.1784137582051755</v>
      </c>
      <c r="U144" s="67">
        <f t="shared" si="13"/>
        <v>-13.460903959781668</v>
      </c>
      <c r="V144" s="67" t="str">
        <f t="shared" si="14"/>
        <v>10.6945954383038-4.43839286159277i</v>
      </c>
      <c r="W144" s="68">
        <f t="shared" si="15"/>
        <v>21.273436036810807</v>
      </c>
      <c r="X144" s="67">
        <f t="shared" si="16"/>
        <v>157.46092951857833</v>
      </c>
      <c r="Y144" s="67"/>
    </row>
    <row r="145" spans="1:25">
      <c r="A145" s="67">
        <v>3.8</v>
      </c>
      <c r="B145" s="68">
        <f t="shared" si="3"/>
        <v>6309.5734448019384</v>
      </c>
      <c r="C145" s="68">
        <f t="shared" si="4"/>
        <v>39644.21916295003</v>
      </c>
      <c r="D145" s="68" t="str">
        <f t="shared" si="5"/>
        <v>39644.21916295i</v>
      </c>
      <c r="E145" s="69" t="str">
        <f t="shared" si="0"/>
        <v>9.6260140748977-2.1489007086963i</v>
      </c>
      <c r="F145" s="68">
        <f t="shared" si="6"/>
        <v>19.880142814009151</v>
      </c>
      <c r="G145" s="67">
        <f t="shared" si="7"/>
        <v>-12.584305368621289</v>
      </c>
      <c r="H145" s="67" t="str">
        <f t="shared" si="8"/>
        <v>1.2398300735795-0.0859037745812996i</v>
      </c>
      <c r="I145" s="67">
        <f t="shared" si="1"/>
        <v>1.8880424085809633</v>
      </c>
      <c r="J145" s="67">
        <f t="shared" si="17"/>
        <v>-3.9635029790326675</v>
      </c>
      <c r="K145" s="67" t="str">
        <f t="shared" si="18"/>
        <v>11.7500230566803-3.4911826669844i</v>
      </c>
      <c r="L145" s="68">
        <f t="shared" si="19"/>
        <v>21.768185222590127</v>
      </c>
      <c r="M145" s="67">
        <f t="shared" si="9"/>
        <v>163.45219165234607</v>
      </c>
      <c r="N145" s="67"/>
      <c r="O145" s="67"/>
      <c r="P145" s="67"/>
      <c r="Q145" s="68">
        <f t="shared" si="2"/>
        <v>1347.1592135919452</v>
      </c>
      <c r="R145" s="68">
        <f t="shared" si="10"/>
        <v>62.588378514285843</v>
      </c>
      <c r="S145" s="67" t="str">
        <f t="shared" si="11"/>
        <v>1.25104814067609-0.0409392580196551i</v>
      </c>
      <c r="T145" s="67">
        <f t="shared" si="12"/>
        <v>1.9501286246489813</v>
      </c>
      <c r="U145" s="67">
        <f t="shared" si="13"/>
        <v>-1.8742763586678608</v>
      </c>
      <c r="V145" s="67" t="str">
        <f t="shared" si="14"/>
        <v>11.9546326099507-3.08246011002511i</v>
      </c>
      <c r="W145" s="68">
        <f t="shared" si="15"/>
        <v>21.830271438658126</v>
      </c>
      <c r="X145" s="67">
        <f t="shared" si="16"/>
        <v>165.54141827271084</v>
      </c>
      <c r="Y145" s="67"/>
    </row>
    <row r="146" spans="1:25">
      <c r="A146" s="67">
        <v>3.9</v>
      </c>
      <c r="B146" s="68">
        <f t="shared" si="3"/>
        <v>7943.2823472428154</v>
      </c>
      <c r="C146" s="68">
        <f t="shared" si="4"/>
        <v>49909.114934975034</v>
      </c>
      <c r="D146" s="68" t="str">
        <f t="shared" si="5"/>
        <v>49909.114934975i</v>
      </c>
      <c r="E146" s="69" t="str">
        <f t="shared" si="0"/>
        <v>10.9196918757917-3.71117304271786i</v>
      </c>
      <c r="F146" s="68">
        <f t="shared" si="6"/>
        <v>21.238923778878075</v>
      </c>
      <c r="G146" s="67">
        <f t="shared" si="7"/>
        <v>-18.770873560819858</v>
      </c>
      <c r="H146" s="67" t="str">
        <f t="shared" si="8"/>
        <v>1.24560065118026+0.155436860737796i</v>
      </c>
      <c r="I146" s="67">
        <f t="shared" si="1"/>
        <v>1.9746846354813741</v>
      </c>
      <c r="J146" s="67">
        <f t="shared" si="17"/>
        <v>7.1130945529120844</v>
      </c>
      <c r="K146" s="67" t="str">
        <f t="shared" si="18"/>
        <v>14.1784283985887-2.92531693325492i</v>
      </c>
      <c r="L146" s="68">
        <f t="shared" si="19"/>
        <v>23.213608414359431</v>
      </c>
      <c r="M146" s="67">
        <f t="shared" si="9"/>
        <v>168.34222099209219</v>
      </c>
      <c r="N146" s="67"/>
      <c r="O146" s="67"/>
      <c r="P146" s="67"/>
      <c r="Q146" s="68">
        <f t="shared" si="2"/>
        <v>1070.0866000250421</v>
      </c>
      <c r="R146" s="68">
        <f t="shared" si="10"/>
        <v>60.588378514285857</v>
      </c>
      <c r="S146" s="67" t="str">
        <f t="shared" si="11"/>
        <v>1.25310506640592+0.215070108986557i</v>
      </c>
      <c r="T146" s="67">
        <f t="shared" si="12"/>
        <v>2.0858308617708761</v>
      </c>
      <c r="U146" s="67">
        <f t="shared" si="13"/>
        <v>9.7387757739215655</v>
      </c>
      <c r="V146" s="67" t="str">
        <f t="shared" si="14"/>
        <v>14.4816836039114-2.30199042031268i</v>
      </c>
      <c r="W146" s="68">
        <f t="shared" si="15"/>
        <v>23.324754640648923</v>
      </c>
      <c r="X146" s="67">
        <f t="shared" si="16"/>
        <v>170.96790221310169</v>
      </c>
      <c r="Y146" s="67"/>
    </row>
    <row r="147" spans="1:25">
      <c r="A147" s="67">
        <v>4</v>
      </c>
      <c r="B147" s="68">
        <f t="shared" si="3"/>
        <v>10000</v>
      </c>
      <c r="C147" s="68">
        <f t="shared" si="4"/>
        <v>62831.853071795864</v>
      </c>
      <c r="D147" s="68" t="str">
        <f t="shared" si="5"/>
        <v>62831.8530717959i</v>
      </c>
      <c r="E147" s="69" t="str">
        <f t="shared" si="0"/>
        <v>12.8390666789107-8.18574487235835i</v>
      </c>
      <c r="F147" s="68">
        <f t="shared" si="6"/>
        <v>23.652034518447472</v>
      </c>
      <c r="G147" s="67">
        <f t="shared" si="7"/>
        <v>-32.520175477295048</v>
      </c>
      <c r="H147" s="67" t="str">
        <f t="shared" si="8"/>
        <v>1.25474250548535+0.404905905704681i</v>
      </c>
      <c r="I147" s="67">
        <f t="shared" si="1"/>
        <v>2.4013161255509328</v>
      </c>
      <c r="J147" s="67">
        <f t="shared" si="17"/>
        <v>17.88491101681506</v>
      </c>
      <c r="K147" s="67" t="str">
        <f t="shared" si="18"/>
        <v>19.4241791341996-5.07238810837964i</v>
      </c>
      <c r="L147" s="68">
        <f t="shared" si="19"/>
        <v>26.053350643998407</v>
      </c>
      <c r="M147" s="67">
        <f t="shared" si="9"/>
        <v>165.36473553952004</v>
      </c>
      <c r="N147" s="67"/>
      <c r="O147" s="67"/>
      <c r="P147" s="67"/>
      <c r="Q147" s="68">
        <f t="shared" si="2"/>
        <v>850</v>
      </c>
      <c r="R147" s="68">
        <f t="shared" si="10"/>
        <v>58.588378514285857</v>
      </c>
      <c r="S147" s="67" t="str">
        <f t="shared" si="11"/>
        <v>1.25636495752864+0.482516923558367i</v>
      </c>
      <c r="T147" s="67">
        <f t="shared" si="12"/>
        <v>2.57984509856036</v>
      </c>
      <c r="U147" s="67">
        <f t="shared" si="13"/>
        <v>21.009681932431931</v>
      </c>
      <c r="V147" s="67" t="str">
        <f t="shared" si="14"/>
        <v>20.0803138956011-4.08921605363205i</v>
      </c>
      <c r="W147" s="68">
        <f t="shared" si="15"/>
        <v>26.231879617007856</v>
      </c>
      <c r="X147" s="67">
        <f t="shared" si="16"/>
        <v>168.4895064551369</v>
      </c>
      <c r="Y147" s="67"/>
    </row>
    <row r="148" spans="1:25">
      <c r="A148" s="67">
        <v>4.0999999999999996</v>
      </c>
      <c r="B148" s="68">
        <f t="shared" si="3"/>
        <v>12589.254117941671</v>
      </c>
      <c r="C148" s="68">
        <f t="shared" si="4"/>
        <v>79100.616502201214</v>
      </c>
      <c r="D148" s="68" t="str">
        <f t="shared" si="5"/>
        <v>79100.6165022012i</v>
      </c>
      <c r="E148" s="69" t="str">
        <f t="shared" si="0"/>
        <v>5.98468230421762-20.5757386125737i</v>
      </c>
      <c r="F148" s="68">
        <f t="shared" si="6"/>
        <v>26.619805440883162</v>
      </c>
      <c r="G148" s="67">
        <f t="shared" si="7"/>
        <v>-73.782340602159209</v>
      </c>
      <c r="H148" s="67" t="str">
        <f t="shared" si="8"/>
        <v>1.26922159246491+0.675640271775532i</v>
      </c>
      <c r="I148" s="67">
        <f t="shared" si="1"/>
        <v>3.1542729062851333</v>
      </c>
      <c r="J148" s="67">
        <f t="shared" si="17"/>
        <v>28.027555330633923</v>
      </c>
      <c r="K148" s="67" t="str">
        <f t="shared" si="18"/>
        <v>21.4976856327373-22.0716793494807i</v>
      </c>
      <c r="L148" s="68">
        <f t="shared" si="19"/>
        <v>29.774078347168306</v>
      </c>
      <c r="M148" s="67">
        <f t="shared" si="9"/>
        <v>134.24521472847479</v>
      </c>
      <c r="N148" s="67"/>
      <c r="O148" s="67"/>
      <c r="P148" s="67"/>
      <c r="Q148" s="68">
        <f t="shared" si="2"/>
        <v>675.17899951563936</v>
      </c>
      <c r="R148" s="68">
        <f t="shared" si="10"/>
        <v>56.588378514285857</v>
      </c>
      <c r="S148" s="67" t="str">
        <f t="shared" si="11"/>
        <v>1.26153124425019+0.77562796072628i</v>
      </c>
      <c r="T148" s="67">
        <f t="shared" si="12"/>
        <v>3.4105047681972431</v>
      </c>
      <c r="U148" s="67">
        <f t="shared" si="13"/>
        <v>31.584471162094427</v>
      </c>
      <c r="V148" s="67" t="str">
        <f t="shared" si="14"/>
        <v>23.5089818941893-21.3150502020718i</v>
      </c>
      <c r="W148" s="68">
        <f t="shared" si="15"/>
        <v>30.030310209080415</v>
      </c>
      <c r="X148" s="67">
        <f t="shared" si="16"/>
        <v>137.80213055993528</v>
      </c>
      <c r="Y148" s="67"/>
    </row>
    <row r="149" spans="1:25">
      <c r="A149" s="67">
        <v>4.2</v>
      </c>
      <c r="B149" s="68">
        <f t="shared" si="3"/>
        <v>15848.931924611146</v>
      </c>
      <c r="C149" s="68">
        <f t="shared" si="4"/>
        <v>99581.776203206231</v>
      </c>
      <c r="D149" s="68" t="str">
        <f t="shared" si="5"/>
        <v>99581.7762032062i</v>
      </c>
      <c r="E149" s="69" t="str">
        <f t="shared" si="0"/>
        <v>-8.73807218769318-9.23293295027679i</v>
      </c>
      <c r="F149" s="68">
        <f t="shared" si="6"/>
        <v>22.084439267814705</v>
      </c>
      <c r="G149" s="67">
        <f t="shared" si="7"/>
        <v>-133.4226664169922</v>
      </c>
      <c r="H149" s="67" t="str">
        <f t="shared" si="8"/>
        <v>1.29214487426878+0.981762318061365i</v>
      </c>
      <c r="I149" s="67">
        <f t="shared" si="1"/>
        <v>4.2053260124859744</v>
      </c>
      <c r="J149" s="67">
        <f t="shared" si="17"/>
        <v>37.227306557679384</v>
      </c>
      <c r="K149" s="67" t="str">
        <f t="shared" si="18"/>
        <v>-2.22630953254943-20.5089969925447i</v>
      </c>
      <c r="L149" s="68">
        <f t="shared" si="19"/>
        <v>26.289765280300692</v>
      </c>
      <c r="M149" s="67">
        <f t="shared" si="9"/>
        <v>83.804640140687198</v>
      </c>
      <c r="N149" s="67"/>
      <c r="O149" s="67"/>
      <c r="P149" s="67"/>
      <c r="Q149" s="68">
        <f t="shared" si="2"/>
        <v>536.31374280816385</v>
      </c>
      <c r="R149" s="68">
        <f t="shared" si="10"/>
        <v>54.588378514285843</v>
      </c>
      <c r="S149" s="67" t="str">
        <f t="shared" si="11"/>
        <v>1.26971852217855+1.10998104466494i</v>
      </c>
      <c r="T149" s="67">
        <f t="shared" si="12"/>
        <v>4.5396670479562822</v>
      </c>
      <c r="U149" s="67">
        <f t="shared" si="13"/>
        <v>41.159778140743285</v>
      </c>
      <c r="V149" s="67" t="str">
        <f t="shared" si="14"/>
        <v>-0.846511543377696-21.4223204762524i</v>
      </c>
      <c r="W149" s="68">
        <f t="shared" si="15"/>
        <v>26.624106315770977</v>
      </c>
      <c r="X149" s="67">
        <f t="shared" si="16"/>
        <v>87.737111723751084</v>
      </c>
      <c r="Y149" s="67"/>
    </row>
    <row r="150" spans="1:25">
      <c r="A150" s="67">
        <v>4.3</v>
      </c>
      <c r="B150" s="68">
        <f t="shared" si="3"/>
        <v>19952.623149688792</v>
      </c>
      <c r="C150" s="68">
        <f t="shared" si="4"/>
        <v>125366.0286138159</v>
      </c>
      <c r="D150" s="68" t="str">
        <f t="shared" si="5"/>
        <v>125366.028613816i</v>
      </c>
      <c r="E150" s="69" t="str">
        <f t="shared" si="0"/>
        <v>-5.1554252654258-2.35788646267809i</v>
      </c>
      <c r="F150" s="68">
        <f t="shared" si="6"/>
        <v>15.070193631461713</v>
      </c>
      <c r="G150" s="67">
        <f t="shared" si="7"/>
        <v>-155.42252803080387</v>
      </c>
      <c r="H150" s="67" t="str">
        <f t="shared" si="8"/>
        <v>1.32841434693506+1.33898671472654i</v>
      </c>
      <c r="I150" s="67">
        <f t="shared" si="1"/>
        <v>5.5115346630067164</v>
      </c>
      <c r="J150" s="67">
        <f t="shared" si="17"/>
        <v>45.227093289639562</v>
      </c>
      <c r="K150" s="67" t="str">
        <f t="shared" si="18"/>
        <v>-3.6913622387836-10.0352961446362i</v>
      </c>
      <c r="L150" s="68">
        <f t="shared" si="19"/>
        <v>20.581728294468409</v>
      </c>
      <c r="M150" s="67">
        <f t="shared" si="9"/>
        <v>69.804565258835652</v>
      </c>
      <c r="N150" s="67"/>
      <c r="O150" s="67"/>
      <c r="P150" s="67"/>
      <c r="Q150" s="68">
        <f t="shared" si="2"/>
        <v>426.00914858318151</v>
      </c>
      <c r="R150" s="68">
        <f t="shared" si="10"/>
        <v>52.58837851428585</v>
      </c>
      <c r="S150" s="67" t="str">
        <f t="shared" si="11"/>
        <v>1.28269263795103+1.50331904366559i</v>
      </c>
      <c r="T150" s="67">
        <f t="shared" si="12"/>
        <v>5.9165090402399141</v>
      </c>
      <c r="U150" s="67">
        <f t="shared" si="13"/>
        <v>49.527847600693157</v>
      </c>
      <c r="V150" s="67" t="str">
        <f t="shared" si="14"/>
        <v>-3.06817041132314-10.7746925865109i</v>
      </c>
      <c r="W150" s="68">
        <f t="shared" si="15"/>
        <v>20.986702671701615</v>
      </c>
      <c r="X150" s="67">
        <f t="shared" si="16"/>
        <v>74.105319569889232</v>
      </c>
      <c r="Y150" s="67"/>
    </row>
    <row r="151" spans="1:25">
      <c r="A151" s="67">
        <v>4.4000000000000004</v>
      </c>
      <c r="B151" s="68">
        <f t="shared" si="3"/>
        <v>25118.86431509586</v>
      </c>
      <c r="C151" s="68">
        <f t="shared" si="4"/>
        <v>157826.47919764792</v>
      </c>
      <c r="D151" s="68" t="str">
        <f t="shared" si="5"/>
        <v>157826.479197648i</v>
      </c>
      <c r="E151" s="69" t="str">
        <f t="shared" si="0"/>
        <v>-2.80502924903288-0.812156811553119i</v>
      </c>
      <c r="F151" s="68">
        <f t="shared" si="6"/>
        <v>9.3083638381216343</v>
      </c>
      <c r="G151" s="67">
        <f t="shared" si="7"/>
        <v>-163.85236947908299</v>
      </c>
      <c r="H151" s="67" t="str">
        <f t="shared" si="8"/>
        <v>1.38574364032436+1.76516996593233i</v>
      </c>
      <c r="I151" s="67">
        <f t="shared" si="1"/>
        <v>7.0209524591377406</v>
      </c>
      <c r="J151" s="67">
        <f t="shared" si="17"/>
        <v>51.866374927721083</v>
      </c>
      <c r="K151" s="67" t="str">
        <f t="shared" si="18"/>
        <v>-2.4534566313902-6.0767945205104i</v>
      </c>
      <c r="L151" s="68">
        <f t="shared" si="19"/>
        <v>16.329316297259371</v>
      </c>
      <c r="M151" s="67">
        <f t="shared" si="9"/>
        <v>68.014005448638073</v>
      </c>
      <c r="N151" s="67"/>
      <c r="O151" s="67"/>
      <c r="P151" s="67"/>
      <c r="Q151" s="68">
        <f t="shared" si="2"/>
        <v>338.3910949704719</v>
      </c>
      <c r="R151" s="68">
        <f t="shared" si="10"/>
        <v>50.588378514285836</v>
      </c>
      <c r="S151" s="67" t="str">
        <f t="shared" si="11"/>
        <v>1.30325059165384+1.97646367414319i</v>
      </c>
      <c r="T151" s="67">
        <f t="shared" si="12"/>
        <v>7.4856560284901175</v>
      </c>
      <c r="U151" s="67">
        <f t="shared" si="13"/>
        <v>56.599738972674302</v>
      </c>
      <c r="V151" s="67" t="str">
        <f t="shared" si="14"/>
        <v>-2.05045759266573-6.60248226079494i</v>
      </c>
      <c r="W151" s="68">
        <f t="shared" si="15"/>
        <v>16.794019866611755</v>
      </c>
      <c r="X151" s="67">
        <f t="shared" si="16"/>
        <v>72.747369493591307</v>
      </c>
      <c r="Y151" s="67"/>
    </row>
    <row r="152" spans="1:25">
      <c r="A152" s="67">
        <v>4.5</v>
      </c>
      <c r="B152" s="68">
        <f t="shared" si="3"/>
        <v>31622.77660168384</v>
      </c>
      <c r="C152" s="68">
        <f t="shared" si="4"/>
        <v>198691.7653159223</v>
      </c>
      <c r="D152" s="68" t="str">
        <f t="shared" si="5"/>
        <v>198691.765315922i</v>
      </c>
      <c r="E152" s="69" t="str">
        <f t="shared" si="0"/>
        <v>-1.60665327376025-0.338691318034256i</v>
      </c>
      <c r="F152" s="68">
        <f t="shared" si="6"/>
        <v>4.3072738662674208</v>
      </c>
      <c r="G152" s="67">
        <f t="shared" si="7"/>
        <v>-168.09602660321332</v>
      </c>
      <c r="H152" s="67" t="str">
        <f t="shared" si="8"/>
        <v>1.47621967153228+2.28069546971432i</v>
      </c>
      <c r="I152" s="67">
        <f t="shared" si="1"/>
        <v>8.6810322215246423</v>
      </c>
      <c r="J152" s="67">
        <f t="shared" si="17"/>
        <v>57.086336947211848</v>
      </c>
      <c r="K152" s="67" t="str">
        <f t="shared" si="18"/>
        <v>-1.59932141338432-4.16426962912605i</v>
      </c>
      <c r="L152" s="68">
        <f t="shared" si="19"/>
        <v>12.988306087792068</v>
      </c>
      <c r="M152" s="67">
        <f t="shared" si="9"/>
        <v>68.99031034399853</v>
      </c>
      <c r="N152" s="67"/>
      <c r="O152" s="67"/>
      <c r="P152" s="67"/>
      <c r="Q152" s="68">
        <f t="shared" si="2"/>
        <v>268.79360111431185</v>
      </c>
      <c r="R152" s="68">
        <f t="shared" si="10"/>
        <v>48.588378514285836</v>
      </c>
      <c r="S152" s="67" t="str">
        <f t="shared" si="11"/>
        <v>1.33582111655814+2.55436240553015i</v>
      </c>
      <c r="T152" s="67">
        <f t="shared" si="12"/>
        <v>9.1955844694823732</v>
      </c>
      <c r="U152" s="67">
        <f t="shared" si="13"/>
        <v>62.392377699094695</v>
      </c>
      <c r="V152" s="67" t="str">
        <f t="shared" si="14"/>
        <v>-1.28106100021005-4.55640573584019i</v>
      </c>
      <c r="W152" s="68">
        <f t="shared" si="15"/>
        <v>13.502858335749792</v>
      </c>
      <c r="X152" s="67">
        <f t="shared" si="16"/>
        <v>74.296351095881363</v>
      </c>
      <c r="Y152" s="67"/>
    </row>
    <row r="153" spans="1:25">
      <c r="A153" s="67">
        <v>4.5999999999999996</v>
      </c>
      <c r="B153" s="68">
        <f t="shared" si="3"/>
        <v>39810.717055349742</v>
      </c>
      <c r="C153" s="68">
        <f t="shared" si="4"/>
        <v>250138.11247045727</v>
      </c>
      <c r="D153" s="68" t="str">
        <f t="shared" si="5"/>
        <v>250138.112470457i</v>
      </c>
      <c r="E153" s="69" t="str">
        <f t="shared" si="0"/>
        <v>-0.954986249168037-0.158940270422602i</v>
      </c>
      <c r="F153" s="68">
        <f t="shared" si="6"/>
        <v>-0.28139571706647987</v>
      </c>
      <c r="G153" s="67">
        <f t="shared" si="7"/>
        <v>-170.5507603680509</v>
      </c>
      <c r="H153" s="67" t="str">
        <f t="shared" si="8"/>
        <v>1.61865558764833+2.90845320486578i</v>
      </c>
      <c r="I153" s="67">
        <f t="shared" si="1"/>
        <v>10.445062837901274</v>
      </c>
      <c r="J153" s="67">
        <f t="shared" si="17"/>
        <v>60.902537352321438</v>
      </c>
      <c r="K153" s="67" t="str">
        <f t="shared" si="18"/>
        <v>-1.08352348945031-3.03480237381741i</v>
      </c>
      <c r="L153" s="68">
        <f t="shared" si="19"/>
        <v>10.163667120834791</v>
      </c>
      <c r="M153" s="67">
        <f t="shared" si="9"/>
        <v>70.3517769842706</v>
      </c>
      <c r="N153" s="67"/>
      <c r="O153" s="67"/>
      <c r="P153" s="67"/>
      <c r="Q153" s="68">
        <f t="shared" si="2"/>
        <v>213.51034667831422</v>
      </c>
      <c r="R153" s="68">
        <f t="shared" si="10"/>
        <v>46.588378514285857</v>
      </c>
      <c r="S153" s="67" t="str">
        <f t="shared" si="11"/>
        <v>1.38741270850758+3.26729363912314i</v>
      </c>
      <c r="T153" s="67">
        <f t="shared" si="12"/>
        <v>11.003747414843641</v>
      </c>
      <c r="U153" s="67">
        <f t="shared" si="13"/>
        <v>66.992142454485901</v>
      </c>
      <c r="V153" s="67" t="str">
        <f t="shared" si="14"/>
        <v>-0.805655523993442-3.34073624843474i</v>
      </c>
      <c r="W153" s="68">
        <f t="shared" si="15"/>
        <v>10.722351697777155</v>
      </c>
      <c r="X153" s="67">
        <f t="shared" si="16"/>
        <v>76.441382086434999</v>
      </c>
      <c r="Y153" s="67"/>
    </row>
    <row r="154" spans="1:25">
      <c r="A154" s="67">
        <v>4.7</v>
      </c>
      <c r="B154" s="68">
        <f t="shared" si="3"/>
        <v>50118.723362727294</v>
      </c>
      <c r="C154" s="68">
        <f t="shared" si="4"/>
        <v>314905.22624728642</v>
      </c>
      <c r="D154" s="68" t="str">
        <f t="shared" si="5"/>
        <v>314905.226247286i</v>
      </c>
      <c r="E154" s="69" t="str">
        <f t="shared" si="0"/>
        <v>-0.580759454982251-0.081249846193832i</v>
      </c>
      <c r="F154" s="68">
        <f t="shared" si="6"/>
        <v>-4.6358918954487223</v>
      </c>
      <c r="G154" s="67">
        <f t="shared" si="7"/>
        <v>-172.03585445015631</v>
      </c>
      <c r="H154" s="67" t="str">
        <f t="shared" si="8"/>
        <v>1.84202234857139+3.6729242046006i</v>
      </c>
      <c r="I154" s="67">
        <f t="shared" si="1"/>
        <v>12.274603869032198</v>
      </c>
      <c r="J154" s="67">
        <f t="shared" si="17"/>
        <v>63.365601202081407</v>
      </c>
      <c r="K154" s="67" t="str">
        <f t="shared" si="18"/>
        <v>-0.771347368516045-2.28274949176199i</v>
      </c>
      <c r="L154" s="68">
        <f t="shared" si="19"/>
        <v>7.6387119735834812</v>
      </c>
      <c r="M154" s="67">
        <f t="shared" si="9"/>
        <v>71.329746751925114</v>
      </c>
      <c r="N154" s="67"/>
      <c r="O154" s="67"/>
      <c r="P154" s="67"/>
      <c r="Q154" s="68">
        <f t="shared" si="2"/>
        <v>169.59729677235455</v>
      </c>
      <c r="R154" s="68">
        <f t="shared" si="10"/>
        <v>44.588378514285843</v>
      </c>
      <c r="S154" s="67" t="str">
        <f t="shared" si="11"/>
        <v>1.46910656361258+4.15223361878305i</v>
      </c>
      <c r="T154" s="67">
        <f t="shared" si="12"/>
        <v>12.877864648870203</v>
      </c>
      <c r="U154" s="67">
        <f t="shared" si="13"/>
        <v>70.515652704558576</v>
      </c>
      <c r="V154" s="67" t="str">
        <f t="shared" si="14"/>
        <v>-0.515829184307508-2.5308136157393i</v>
      </c>
      <c r="W154" s="68">
        <f t="shared" si="15"/>
        <v>8.2419727534214946</v>
      </c>
      <c r="X154" s="67">
        <f t="shared" si="16"/>
        <v>78.479798254402311</v>
      </c>
      <c r="Y154" s="67"/>
    </row>
    <row r="155" spans="1:25">
      <c r="A155" s="67">
        <v>4.8</v>
      </c>
      <c r="B155" s="68">
        <f t="shared" si="3"/>
        <v>63095.734448019342</v>
      </c>
      <c r="C155" s="68">
        <f t="shared" si="4"/>
        <v>396442.19162950001</v>
      </c>
      <c r="D155" s="68" t="str">
        <f t="shared" si="5"/>
        <v>396442.1916295i</v>
      </c>
      <c r="E155" s="69" t="str">
        <f t="shared" si="0"/>
        <v>-0.358145699470279-0.0446616942837979i</v>
      </c>
      <c r="F155" s="68">
        <f t="shared" si="6"/>
        <v>-8.8517889414410504</v>
      </c>
      <c r="G155" s="67">
        <f t="shared" si="7"/>
        <v>-172.89176276450385</v>
      </c>
      <c r="H155" s="67" t="str">
        <f t="shared" si="8"/>
        <v>2.19017508916949+4.59744467752672i</v>
      </c>
      <c r="I155" s="67">
        <f t="shared" si="1"/>
        <v>14.138588639389534</v>
      </c>
      <c r="J155" s="67">
        <f t="shared" si="17"/>
        <v>64.527352944208758</v>
      </c>
      <c r="K155" s="67" t="str">
        <f t="shared" si="18"/>
        <v>-0.579072120598616-1.7443719700692i</v>
      </c>
      <c r="L155" s="68">
        <f t="shared" si="19"/>
        <v>5.2867996979485001</v>
      </c>
      <c r="M155" s="67">
        <f t="shared" si="9"/>
        <v>71.63559017970492</v>
      </c>
      <c r="N155" s="67"/>
      <c r="O155" s="67"/>
      <c r="P155" s="67"/>
      <c r="Q155" s="68">
        <f t="shared" si="2"/>
        <v>134.7159213591946</v>
      </c>
      <c r="R155" s="68">
        <f t="shared" si="10"/>
        <v>42.58837851428585</v>
      </c>
      <c r="S155" s="67" t="str">
        <f t="shared" si="11"/>
        <v>1.59839872623375+5.25433762262974i</v>
      </c>
      <c r="T155" s="67">
        <f t="shared" si="12"/>
        <v>14.794737039073622</v>
      </c>
      <c r="U155" s="67">
        <f t="shared" si="13"/>
        <v>73.079947382204494</v>
      </c>
      <c r="V155" s="67" t="str">
        <f t="shared" si="14"/>
        <v>-0.337792009273643-1.95320561836439i</v>
      </c>
      <c r="W155" s="68">
        <f t="shared" si="15"/>
        <v>5.9429480976325504</v>
      </c>
      <c r="X155" s="67">
        <f t="shared" si="16"/>
        <v>80.188184617700585</v>
      </c>
      <c r="Y155" s="67"/>
    </row>
    <row r="156" spans="1:25">
      <c r="A156" s="67">
        <v>4.9000000000000004</v>
      </c>
      <c r="B156" s="68">
        <f t="shared" si="3"/>
        <v>79432.823472428237</v>
      </c>
      <c r="C156" s="68">
        <f t="shared" si="4"/>
        <v>499091.14934975083</v>
      </c>
      <c r="D156" s="68" t="str">
        <f t="shared" si="5"/>
        <v>499091.149349751i</v>
      </c>
      <c r="E156" s="69" t="str">
        <f t="shared" si="0"/>
        <v>-0.222769874597983-0.0262691336456627i</v>
      </c>
      <c r="F156" s="68">
        <f t="shared" si="6"/>
        <v>-12.982897104540083</v>
      </c>
      <c r="G156" s="67">
        <f t="shared" si="7"/>
        <v>-173.27471088481278</v>
      </c>
      <c r="H156" s="67" t="str">
        <f t="shared" si="8"/>
        <v>2.72768696407558+5.69804423790238i</v>
      </c>
      <c r="I156" s="67">
        <f t="shared" si="1"/>
        <v>16.010597928132828</v>
      </c>
      <c r="J156" s="67">
        <f t="shared" si="17"/>
        <v>64.419290202674148</v>
      </c>
      <c r="K156" s="67" t="str">
        <f t="shared" si="18"/>
        <v>-0.457963797325314-1.34100657373411i</v>
      </c>
      <c r="L156" s="68">
        <f t="shared" si="19"/>
        <v>3.0277008235927654</v>
      </c>
      <c r="M156" s="67">
        <f t="shared" si="9"/>
        <v>71.1445793178614</v>
      </c>
      <c r="N156" s="67"/>
      <c r="O156" s="67"/>
      <c r="P156" s="67"/>
      <c r="Q156" s="68">
        <f t="shared" si="2"/>
        <v>107.0086600025041</v>
      </c>
      <c r="R156" s="68">
        <f t="shared" si="10"/>
        <v>40.58837851428585</v>
      </c>
      <c r="S156" s="67" t="str">
        <f t="shared" si="11"/>
        <v>1.80285219509588+6.62837726778612i</v>
      </c>
      <c r="T156" s="67">
        <f t="shared" si="12"/>
        <v>16.738100454608041</v>
      </c>
      <c r="U156" s="67">
        <f t="shared" si="13"/>
        <v>74.78420788799005</v>
      </c>
      <c r="V156" s="67" t="str">
        <f t="shared" si="14"/>
        <v>-0.227499429118861-1.52396213798919i</v>
      </c>
      <c r="W156" s="68">
        <f t="shared" si="15"/>
        <v>3.7552033500679833</v>
      </c>
      <c r="X156" s="67">
        <f t="shared" si="16"/>
        <v>81.509497003177302</v>
      </c>
      <c r="Y156" s="67"/>
    </row>
    <row r="157" spans="1:25">
      <c r="A157" s="67">
        <v>5</v>
      </c>
      <c r="B157" s="68">
        <f t="shared" si="3"/>
        <v>100000</v>
      </c>
      <c r="C157" s="68">
        <f t="shared" si="4"/>
        <v>628318.53071795858</v>
      </c>
      <c r="D157" s="68" t="str">
        <f t="shared" si="5"/>
        <v>628318.530717959i</v>
      </c>
      <c r="E157" s="69" t="str">
        <f t="shared" si="0"/>
        <v>-0.139305852012753-0.0164744645515709i</v>
      </c>
      <c r="F157" s="68">
        <f t="shared" si="6"/>
        <v>-17.060294524079652</v>
      </c>
      <c r="G157" s="67">
        <f t="shared" si="7"/>
        <v>-173.25546349147868</v>
      </c>
      <c r="H157" s="67" t="str">
        <f t="shared" si="8"/>
        <v>3.54541560435831+6.97142211468754i</v>
      </c>
      <c r="I157" s="67">
        <f t="shared" si="1"/>
        <v>17.865434368990073</v>
      </c>
      <c r="J157" s="67">
        <f t="shared" si="17"/>
        <v>63.043741757722984</v>
      </c>
      <c r="K157" s="67" t="str">
        <f t="shared" si="18"/>
        <v>-0.379046695001987-1.02956872112168i</v>
      </c>
      <c r="L157" s="68">
        <f t="shared" si="19"/>
        <v>0.80513984491039459</v>
      </c>
      <c r="M157" s="67">
        <f t="shared" si="9"/>
        <v>69.78827826624422</v>
      </c>
      <c r="N157" s="67"/>
      <c r="O157" s="67"/>
      <c r="P157" s="67"/>
      <c r="Q157" s="68">
        <f t="shared" si="2"/>
        <v>85</v>
      </c>
      <c r="R157" s="68">
        <f t="shared" si="10"/>
        <v>38.58837851428585</v>
      </c>
      <c r="S157" s="67" t="str">
        <f t="shared" si="11"/>
        <v>2.12573585945506+8.33974649913732i</v>
      </c>
      <c r="T157" s="67">
        <f t="shared" si="12"/>
        <v>18.696430753002669</v>
      </c>
      <c r="U157" s="67">
        <f t="shared" si="13"/>
        <v>75.700250735717233</v>
      </c>
      <c r="V157" s="67" t="str">
        <f t="shared" si="14"/>
        <v>-0.158734586986324-1.19679585169529i</v>
      </c>
      <c r="W157" s="68">
        <f t="shared" si="15"/>
        <v>1.6361362289229895</v>
      </c>
      <c r="X157" s="67">
        <f t="shared" si="16"/>
        <v>82.444787244238526</v>
      </c>
      <c r="Y157" s="67"/>
    </row>
    <row r="158" spans="1:25">
      <c r="A158" s="67">
        <v>5.0999999999999996</v>
      </c>
      <c r="B158" s="68">
        <f t="shared" si="3"/>
        <v>125892.54117941685</v>
      </c>
      <c r="C158" s="68">
        <f t="shared" si="4"/>
        <v>791006.16502201289</v>
      </c>
      <c r="D158" s="68" t="str">
        <f t="shared" si="5"/>
        <v>791006.165022013i</v>
      </c>
      <c r="E158" s="69" t="str">
        <f t="shared" si="0"/>
        <v>-0.087403250730319-0.0109523161344598i</v>
      </c>
      <c r="F158" s="68">
        <f t="shared" si="6"/>
        <v>-21.101784938697577</v>
      </c>
      <c r="G158" s="67">
        <f t="shared" si="7"/>
        <v>-172.85761542138721</v>
      </c>
      <c r="H158" s="67" t="str">
        <f t="shared" si="8"/>
        <v>4.76175455310238+8.37428987639652i</v>
      </c>
      <c r="I158" s="67">
        <f t="shared" si="1"/>
        <v>19.675621905097284</v>
      </c>
      <c r="J158" s="67">
        <f t="shared" si="17"/>
        <v>60.376750446358514</v>
      </c>
      <c r="K158" s="67" t="str">
        <f t="shared" si="18"/>
        <v>-0.324474956993144-0.784092398975338i</v>
      </c>
      <c r="L158" s="68">
        <f t="shared" si="19"/>
        <v>-1.4261630336002959</v>
      </c>
      <c r="M158" s="67">
        <f t="shared" si="9"/>
        <v>67.519135024971305</v>
      </c>
      <c r="N158" s="67"/>
      <c r="O158" s="67"/>
      <c r="P158" s="67"/>
      <c r="Q158" s="68">
        <f t="shared" si="2"/>
        <v>67.517899951563862</v>
      </c>
      <c r="R158" s="68">
        <f t="shared" si="10"/>
        <v>36.58837851428585</v>
      </c>
      <c r="S158" s="67" t="str">
        <f t="shared" si="11"/>
        <v>2.63459188975535+10.4641921557237i</v>
      </c>
      <c r="T158" s="67">
        <f t="shared" si="12"/>
        <v>20.661036584519678</v>
      </c>
      <c r="U158" s="67">
        <f t="shared" si="13"/>
        <v>75.868233860568481</v>
      </c>
      <c r="V158" s="67" t="str">
        <f t="shared" si="14"/>
        <v>-0.115664754931131-0.94345929393884i</v>
      </c>
      <c r="W158" s="68">
        <f t="shared" si="15"/>
        <v>-0.44074835417790748</v>
      </c>
      <c r="X158" s="67">
        <f t="shared" si="16"/>
        <v>83.010618439181272</v>
      </c>
      <c r="Y158" s="67"/>
    </row>
    <row r="159" spans="1:25">
      <c r="A159" s="67">
        <v>5.2</v>
      </c>
      <c r="B159" s="68">
        <f t="shared" si="3"/>
        <v>158489.31924611164</v>
      </c>
      <c r="C159" s="68">
        <f t="shared" si="4"/>
        <v>995817.76203206345</v>
      </c>
      <c r="D159" s="68" t="str">
        <f t="shared" si="5"/>
        <v>995817.762032063i</v>
      </c>
      <c r="E159" s="69" t="str">
        <f t="shared" si="0"/>
        <v>-0.0549529813949672-0.00765099826149341i</v>
      </c>
      <c r="F159" s="68">
        <f t="shared" si="6"/>
        <v>-25.116794728246674</v>
      </c>
      <c r="G159" s="67">
        <f t="shared" si="7"/>
        <v>-172.07377157799789</v>
      </c>
      <c r="H159" s="67" t="str">
        <f t="shared" si="8"/>
        <v>6.5109513286236+9.79341387274462i</v>
      </c>
      <c r="I159" s="67">
        <f t="shared" si="1"/>
        <v>21.408329901911301</v>
      </c>
      <c r="J159" s="67">
        <f t="shared" si="17"/>
        <v>56.382864327189729</v>
      </c>
      <c r="K159" s="67" t="str">
        <f t="shared" si="18"/>
        <v>-0.282866794710935-0.587992567638116i</v>
      </c>
      <c r="L159" s="68">
        <f t="shared" si="19"/>
        <v>-3.7084648263353746</v>
      </c>
      <c r="M159" s="67">
        <f t="shared" si="9"/>
        <v>64.309092749191834</v>
      </c>
      <c r="N159" s="67"/>
      <c r="O159" s="67"/>
      <c r="P159" s="67"/>
      <c r="Q159" s="68">
        <f t="shared" si="2"/>
        <v>53.631374280816324</v>
      </c>
      <c r="R159" s="68">
        <f t="shared" si="10"/>
        <v>34.588378514285843</v>
      </c>
      <c r="S159" s="67" t="str">
        <f t="shared" si="11"/>
        <v>3.43390584981282+13.0845504589709i</v>
      </c>
      <c r="T159" s="67">
        <f t="shared" si="12"/>
        <v>22.624443737741085</v>
      </c>
      <c r="U159" s="67">
        <f t="shared" si="13"/>
        <v>75.294926918802915</v>
      </c>
      <c r="V159" s="67" t="str">
        <f t="shared" si="14"/>
        <v>-0.0885934914628238-0.745307865620387i</v>
      </c>
      <c r="W159" s="68">
        <f t="shared" si="15"/>
        <v>-2.4923509905055958</v>
      </c>
      <c r="X159" s="67">
        <f t="shared" si="16"/>
        <v>83.221155340805012</v>
      </c>
      <c r="Y159" s="67"/>
    </row>
    <row r="160" spans="1:25">
      <c r="A160" s="67">
        <v>5.3</v>
      </c>
      <c r="B160" s="68">
        <f t="shared" si="3"/>
        <v>199526.23149688813</v>
      </c>
      <c r="C160" s="68">
        <f t="shared" si="4"/>
        <v>1253660.2861381602</v>
      </c>
      <c r="D160" s="68" t="str">
        <f t="shared" si="5"/>
        <v>1253660.28613816i</v>
      </c>
      <c r="E160" s="69" t="str">
        <f t="shared" si="0"/>
        <v>-0.0345958202905109-0.00555822530091272i</v>
      </c>
      <c r="F160" s="68">
        <f t="shared" si="6"/>
        <v>-29.108848750288317</v>
      </c>
      <c r="G160" s="67">
        <f t="shared" si="7"/>
        <v>-170.87275739021098</v>
      </c>
      <c r="H160" s="67" t="str">
        <f t="shared" si="8"/>
        <v>8.90539210106083+11.0138779732265i</v>
      </c>
      <c r="I160" s="67">
        <f t="shared" si="1"/>
        <v>23.023558608945166</v>
      </c>
      <c r="J160" s="67">
        <f t="shared" si="17"/>
        <v>51.042347584291598</v>
      </c>
      <c r="K160" s="67" t="str">
        <f t="shared" si="18"/>
        <v>-0.246871729532883-0.430532318754025i</v>
      </c>
      <c r="L160" s="68">
        <f t="shared" si="19"/>
        <v>-6.0852901413431564</v>
      </c>
      <c r="M160" s="67">
        <f t="shared" si="9"/>
        <v>60.169590194080598</v>
      </c>
      <c r="N160" s="67"/>
      <c r="O160" s="67"/>
      <c r="P160" s="67"/>
      <c r="Q160" s="68">
        <f t="shared" si="2"/>
        <v>42.600914858318106</v>
      </c>
      <c r="R160" s="68">
        <f t="shared" si="10"/>
        <v>32.58837851428585</v>
      </c>
      <c r="S160" s="67" t="str">
        <f t="shared" si="11"/>
        <v>4.6829852090689+16.2811800418898i</v>
      </c>
      <c r="T160" s="67">
        <f t="shared" si="12"/>
        <v>24.578927524846517</v>
      </c>
      <c r="U160" s="67">
        <f t="shared" si="13"/>
        <v>73.953081601626167</v>
      </c>
      <c r="V160" s="67" t="str">
        <f t="shared" si="14"/>
        <v>-0.0715172478785212-0.589289865719519i</v>
      </c>
      <c r="W160" s="68">
        <f t="shared" si="15"/>
        <v>-4.529921225441802</v>
      </c>
      <c r="X160" s="67">
        <f t="shared" si="16"/>
        <v>83.080324211415174</v>
      </c>
      <c r="Y160" s="67"/>
    </row>
    <row r="161" spans="1:25">
      <c r="A161" s="67">
        <v>5.4</v>
      </c>
      <c r="B161" s="68">
        <f t="shared" si="3"/>
        <v>251188.64315095844</v>
      </c>
      <c r="C161" s="68">
        <f t="shared" si="4"/>
        <v>1578264.7919764782</v>
      </c>
      <c r="D161" s="68" t="str">
        <f t="shared" si="5"/>
        <v>1578264.79197648i</v>
      </c>
      <c r="E161" s="69" t="str">
        <f t="shared" si="0"/>
        <v>-0.021797856580568-0.00415686201954272i</v>
      </c>
      <c r="F161" s="68">
        <f t="shared" si="6"/>
        <v>-33.076589774108129</v>
      </c>
      <c r="G161" s="67">
        <f t="shared" si="7"/>
        <v>-169.20330094309136</v>
      </c>
      <c r="H161" s="67" t="str">
        <f t="shared" si="8"/>
        <v>11.9625972724352+11.7095715857452i</v>
      </c>
      <c r="I161" s="67">
        <f t="shared" si="1"/>
        <v>24.474957194351006</v>
      </c>
      <c r="J161" s="67">
        <f t="shared" si="17"/>
        <v>44.387603561858157</v>
      </c>
      <c r="K161" s="67" t="str">
        <f t="shared" si="18"/>
        <v>-0.212083906285736-0.304970428302839i</v>
      </c>
      <c r="L161" s="68">
        <f t="shared" si="19"/>
        <v>-8.6016325797571245</v>
      </c>
      <c r="M161" s="67">
        <f t="shared" si="9"/>
        <v>55.184302618766694</v>
      </c>
      <c r="N161" s="67"/>
      <c r="O161" s="67"/>
      <c r="P161" s="67"/>
      <c r="Q161" s="68">
        <f t="shared" si="2"/>
        <v>33.839109497047211</v>
      </c>
      <c r="R161" s="68">
        <f t="shared" si="10"/>
        <v>30.588378514285843</v>
      </c>
      <c r="S161" s="67" t="str">
        <f t="shared" si="11"/>
        <v>6.61906633787858+20.110117753709i</v>
      </c>
      <c r="T161" s="67">
        <f t="shared" si="12"/>
        <v>26.514998306890561</v>
      </c>
      <c r="U161" s="67">
        <f t="shared" si="13"/>
        <v>71.781499766425057</v>
      </c>
      <c r="V161" s="67" t="str">
        <f t="shared" si="14"/>
        <v>-0.0606864740314181-0.465872008078444i</v>
      </c>
      <c r="W161" s="68">
        <f t="shared" si="15"/>
        <v>-6.5615914672175784</v>
      </c>
      <c r="X161" s="67">
        <f t="shared" si="16"/>
        <v>82.578198823333679</v>
      </c>
      <c r="Y161" s="67"/>
    </row>
    <row r="162" spans="1:25">
      <c r="A162" s="67">
        <v>5.5</v>
      </c>
      <c r="B162" s="68">
        <f t="shared" si="3"/>
        <v>316227.7660168382</v>
      </c>
      <c r="C162" s="68">
        <f t="shared" si="4"/>
        <v>1986917.6531592219</v>
      </c>
      <c r="D162" s="68" t="str">
        <f t="shared" si="5"/>
        <v>1986917.65315922i</v>
      </c>
      <c r="E162" s="69" t="str">
        <f t="shared" si="0"/>
        <v>-0.013741346206187-0.0031731416892462i</v>
      </c>
      <c r="F162" s="68">
        <f t="shared" si="6"/>
        <v>-37.013795762590441</v>
      </c>
      <c r="G162" s="67">
        <f t="shared" si="7"/>
        <v>-166.99722130632887</v>
      </c>
      <c r="H162" s="67" t="str">
        <f t="shared" si="8"/>
        <v>15.5132787473042+11.4944089659781i</v>
      </c>
      <c r="I162" s="67">
        <f t="shared" si="1"/>
        <v>25.714563960692448</v>
      </c>
      <c r="J162" s="67">
        <f t="shared" si="17"/>
        <v>36.536226987550243</v>
      </c>
      <c r="K162" s="67" t="str">
        <f t="shared" si="18"/>
        <v>-0.1766999457766-0.207174484566973i</v>
      </c>
      <c r="L162" s="68">
        <f t="shared" si="19"/>
        <v>-11.299231801897982</v>
      </c>
      <c r="M162" s="67">
        <f t="shared" si="9"/>
        <v>49.539005681221312</v>
      </c>
      <c r="N162" s="67"/>
      <c r="O162" s="67"/>
      <c r="P162" s="67"/>
      <c r="Q162" s="68">
        <f t="shared" si="2"/>
        <v>26.8793601114312</v>
      </c>
      <c r="R162" s="68">
        <f t="shared" si="10"/>
        <v>28.58837851428585</v>
      </c>
      <c r="S162" s="67" t="str">
        <f t="shared" si="11"/>
        <v>9.58193755997572+24.5591805356717i</v>
      </c>
      <c r="T162" s="67">
        <f t="shared" si="12"/>
        <v>28.419641054262414</v>
      </c>
      <c r="U162" s="67">
        <f t="shared" si="13"/>
        <v>68.686406182429067</v>
      </c>
      <c r="V162" s="67" t="str">
        <f t="shared" si="14"/>
        <v>-0.0537389617262294-0.367881047816227i</v>
      </c>
      <c r="W162" s="68">
        <f t="shared" si="15"/>
        <v>-8.5941547083280252</v>
      </c>
      <c r="X162" s="67">
        <f t="shared" si="16"/>
        <v>81.6891848761002</v>
      </c>
      <c r="Y162" s="67"/>
    </row>
    <row r="163" spans="1:25">
      <c r="A163" s="67">
        <v>5.6</v>
      </c>
      <c r="B163" s="68">
        <f t="shared" si="3"/>
        <v>398107.17055349716</v>
      </c>
      <c r="C163" s="68">
        <f t="shared" si="4"/>
        <v>2501381.124704571</v>
      </c>
      <c r="D163" s="68" t="str">
        <f t="shared" si="5"/>
        <v>2501381.12470457i</v>
      </c>
      <c r="E163" s="69" t="str">
        <f t="shared" si="0"/>
        <v>-0.00866536343355255-0.00245617654619086i</v>
      </c>
      <c r="F163" s="68">
        <f t="shared" si="6"/>
        <v>-40.908649554823342</v>
      </c>
      <c r="G163" s="67">
        <f t="shared" si="7"/>
        <v>-164.17474528166866</v>
      </c>
      <c r="H163" s="67" t="str">
        <f t="shared" si="8"/>
        <v>19.1508082700813+10.0538512777692i</v>
      </c>
      <c r="I163" s="67">
        <f t="shared" si="1"/>
        <v>26.700912082760276</v>
      </c>
      <c r="J163" s="67">
        <f t="shared" si="17"/>
        <v>27.698715096143115</v>
      </c>
      <c r="K163" s="67" t="str">
        <f t="shared" si="18"/>
        <v>-0.141254679999191-0.134158041342328i</v>
      </c>
      <c r="L163" s="68">
        <f t="shared" si="19"/>
        <v>-14.207737472063055</v>
      </c>
      <c r="M163" s="67">
        <f t="shared" si="9"/>
        <v>43.523969814474299</v>
      </c>
      <c r="N163" s="67"/>
      <c r="O163" s="67"/>
      <c r="P163" s="67"/>
      <c r="Q163" s="68">
        <f t="shared" si="2"/>
        <v>21.351034667831435</v>
      </c>
      <c r="R163" s="68">
        <f t="shared" si="10"/>
        <v>26.588378514285857</v>
      </c>
      <c r="S163" s="67" t="str">
        <f t="shared" si="11"/>
        <v>14.026916464453+29.4687540368961i</v>
      </c>
      <c r="T163" s="67">
        <f t="shared" si="12"/>
        <v>30.274156032827907</v>
      </c>
      <c r="U163" s="67">
        <f t="shared" si="13"/>
        <v>64.545885402192482</v>
      </c>
      <c r="V163" s="67" t="str">
        <f t="shared" si="14"/>
        <v>-0.0491678665056758-0.289810046899041i</v>
      </c>
      <c r="W163" s="68">
        <f t="shared" si="15"/>
        <v>-10.634493521995438</v>
      </c>
      <c r="X163" s="67">
        <f t="shared" si="16"/>
        <v>80.371140120523805</v>
      </c>
      <c r="Y163" s="67"/>
    </row>
    <row r="164" spans="1:25">
      <c r="A164" s="67">
        <v>5.7</v>
      </c>
      <c r="B164" s="68">
        <f t="shared" si="3"/>
        <v>501187.23362727347</v>
      </c>
      <c r="C164" s="68">
        <f t="shared" si="4"/>
        <v>3149052.2624728675</v>
      </c>
      <c r="D164" s="68" t="str">
        <f t="shared" si="5"/>
        <v>3149052.26247287i</v>
      </c>
      <c r="E164" s="69" t="str">
        <f t="shared" si="0"/>
        <v>-0.00546554933672192-0.00191882699919581i</v>
      </c>
      <c r="F164" s="68">
        <f t="shared" si="6"/>
        <v>-44.742540611413098</v>
      </c>
      <c r="G164" s="67">
        <f t="shared" si="7"/>
        <v>-160.6550144714804</v>
      </c>
      <c r="H164" s="67" t="str">
        <f t="shared" si="8"/>
        <v>22.2934387280726+7.30600838288074i</v>
      </c>
      <c r="I164" s="67">
        <f t="shared" si="1"/>
        <v>27.406588316759681</v>
      </c>
      <c r="J164" s="67">
        <f t="shared" si="17"/>
        <v>18.145010883591851</v>
      </c>
      <c r="K164" s="67" t="str">
        <f t="shared" si="18"/>
        <v>-0.107826923112046-0.0827086014074818i</v>
      </c>
      <c r="L164" s="68">
        <f t="shared" si="19"/>
        <v>-17.335952294653396</v>
      </c>
      <c r="M164" s="67">
        <f t="shared" si="9"/>
        <v>37.489996412111338</v>
      </c>
      <c r="N164" s="67"/>
      <c r="O164" s="67"/>
      <c r="P164" s="67"/>
      <c r="Q164" s="68">
        <f t="shared" si="2"/>
        <v>16.959729677235437</v>
      </c>
      <c r="R164" s="68">
        <f t="shared" si="10"/>
        <v>24.588378514285836</v>
      </c>
      <c r="S164" s="67" t="str">
        <f t="shared" si="11"/>
        <v>20.4939393026676+34.4069065620985i</v>
      </c>
      <c r="T164" s="67">
        <f t="shared" si="12"/>
        <v>32.051601652810518</v>
      </c>
      <c r="U164" s="67">
        <f t="shared" si="13"/>
        <v>59.220514546298958</v>
      </c>
      <c r="V164" s="67" t="str">
        <f t="shared" si="14"/>
        <v>-0.0459897350923521-0.227376969392969i</v>
      </c>
      <c r="W164" s="68">
        <f t="shared" si="15"/>
        <v>-12.690938958602594</v>
      </c>
      <c r="X164" s="67">
        <f t="shared" si="16"/>
        <v>78.565500074818544</v>
      </c>
      <c r="Y164" s="67"/>
    </row>
    <row r="165" spans="1:25">
      <c r="A165" s="67">
        <v>5.8</v>
      </c>
      <c r="B165" s="68">
        <f t="shared" si="3"/>
        <v>630957.34448019415</v>
      </c>
      <c r="C165" s="68">
        <f t="shared" si="4"/>
        <v>3964421.9162950045</v>
      </c>
      <c r="D165" s="68" t="str">
        <f t="shared" si="5"/>
        <v>3964421.916295i</v>
      </c>
      <c r="E165" s="69" t="str">
        <f t="shared" si="0"/>
        <v>-0.00344776235228944-0.00150806837227647i</v>
      </c>
      <c r="F165" s="68">
        <f t="shared" si="6"/>
        <v>-48.488957895373389</v>
      </c>
      <c r="G165" s="67">
        <f t="shared" si="7"/>
        <v>-156.37519272860834</v>
      </c>
      <c r="H165" s="67" t="str">
        <f t="shared" si="8"/>
        <v>24.3552749515155+3.4852911521211i</v>
      </c>
      <c r="I165" s="67">
        <f t="shared" si="1"/>
        <v>27.819898105585104</v>
      </c>
      <c r="J165" s="67">
        <f t="shared" si="17"/>
        <v>8.1438565624134238</v>
      </c>
      <c r="K165" s="67" t="str">
        <f t="shared" si="18"/>
        <v>-0.0787151427028043-0.0487458754735285i</v>
      </c>
      <c r="L165" s="68">
        <f t="shared" si="19"/>
        <v>-20.669059789788289</v>
      </c>
      <c r="M165" s="67">
        <f t="shared" si="9"/>
        <v>31.768663833805078</v>
      </c>
      <c r="N165" s="67"/>
      <c r="O165" s="67"/>
      <c r="P165" s="67"/>
      <c r="Q165" s="68">
        <f t="shared" si="2"/>
        <v>13.471592135919446</v>
      </c>
      <c r="R165" s="68">
        <f t="shared" si="10"/>
        <v>22.588378514285843</v>
      </c>
      <c r="S165" s="67" t="str">
        <f t="shared" si="11"/>
        <v>29.4727471890581+38.5132093884692i</v>
      </c>
      <c r="T165" s="67">
        <f t="shared" si="12"/>
        <v>33.714207216220892</v>
      </c>
      <c r="U165" s="67">
        <f t="shared" si="13"/>
        <v>52.574494586342333</v>
      </c>
      <c r="V165" s="67" t="str">
        <f t="shared" si="14"/>
        <v>-0.0435344751833673-0.177231311275323i</v>
      </c>
      <c r="W165" s="68">
        <f t="shared" si="15"/>
        <v>-14.774750679152504</v>
      </c>
      <c r="X165" s="67">
        <f t="shared" si="16"/>
        <v>76.199301857733971</v>
      </c>
      <c r="Y165" s="67"/>
    </row>
    <row r="166" spans="1:25">
      <c r="A166" s="67">
        <v>5.9</v>
      </c>
      <c r="B166" s="68">
        <f t="shared" si="3"/>
        <v>794328.23472428333</v>
      </c>
      <c r="C166" s="68">
        <f t="shared" si="4"/>
        <v>4990911.4934975151</v>
      </c>
      <c r="D166" s="68" t="str">
        <f t="shared" si="5"/>
        <v>4990911.49349752i</v>
      </c>
      <c r="E166" s="69" t="str">
        <f t="shared" si="0"/>
        <v>-0.00217508606093431-0.00118983337344635i</v>
      </c>
      <c r="F166" s="68">
        <f t="shared" si="6"/>
        <v>-52.113577829469726</v>
      </c>
      <c r="G166" s="67">
        <f t="shared" si="7"/>
        <v>-151.32009783411829</v>
      </c>
      <c r="H166" s="67" t="str">
        <f t="shared" si="8"/>
        <v>24.9271750938985-0.906319235994545i</v>
      </c>
      <c r="I166" s="67">
        <f t="shared" si="1"/>
        <v>27.93919866638559</v>
      </c>
      <c r="J166" s="67">
        <f t="shared" si="17"/>
        <v>-2.0822817986724567</v>
      </c>
      <c r="K166" s="67" t="str">
        <f t="shared" si="18"/>
        <v>-0.0552971199591902-0.0276878624954927i</v>
      </c>
      <c r="L166" s="68">
        <f t="shared" si="19"/>
        <v>-24.17437916308414</v>
      </c>
      <c r="M166" s="67">
        <f t="shared" si="9"/>
        <v>26.597620367209259</v>
      </c>
      <c r="N166" s="67"/>
      <c r="O166" s="67"/>
      <c r="P166" s="67"/>
      <c r="Q166" s="68">
        <f t="shared" si="2"/>
        <v>10.700866000250397</v>
      </c>
      <c r="R166" s="68">
        <f t="shared" si="10"/>
        <v>20.588378514285836</v>
      </c>
      <c r="S166" s="67" t="str">
        <f t="shared" si="11"/>
        <v>41.0911993437879+40.3957796452762i</v>
      </c>
      <c r="T166" s="67">
        <f t="shared" si="12"/>
        <v>35.211780679136538</v>
      </c>
      <c r="U166" s="67">
        <f t="shared" si="13"/>
        <v>44.51104278326379</v>
      </c>
      <c r="V166" s="67" t="str">
        <f t="shared" si="14"/>
        <v>-0.0413126481514117-0.13675597756119i</v>
      </c>
      <c r="W166" s="68">
        <f t="shared" si="15"/>
        <v>-16.901797150333174</v>
      </c>
      <c r="X166" s="67">
        <f t="shared" si="16"/>
        <v>73.190944949145546</v>
      </c>
      <c r="Y166" s="67"/>
    </row>
    <row r="167" spans="1:25">
      <c r="A167" s="67">
        <v>6</v>
      </c>
      <c r="B167" s="68">
        <f t="shared" si="3"/>
        <v>1000000</v>
      </c>
      <c r="C167" s="68">
        <f t="shared" si="4"/>
        <v>6283185.307179586</v>
      </c>
      <c r="D167" s="68" t="str">
        <f t="shared" si="5"/>
        <v>6283185.30717959i</v>
      </c>
      <c r="E167" s="69" t="str">
        <f t="shared" si="0"/>
        <v>-0.0013722651578476-0.000941076684723897i</v>
      </c>
      <c r="F167" s="68">
        <f t="shared" si="6"/>
        <v>-55.57718297135709</v>
      </c>
      <c r="G167" s="67">
        <f t="shared" si="7"/>
        <v>-145.55831676210201</v>
      </c>
      <c r="H167" s="67" t="str">
        <f t="shared" si="8"/>
        <v>23.8820644970563-5.23036133294309i</v>
      </c>
      <c r="I167" s="67">
        <f t="shared" si="1"/>
        <v>27.764902924914768</v>
      </c>
      <c r="J167" s="67">
        <f t="shared" si="17"/>
        <v>-12.35318954347345</v>
      </c>
      <c r="K167" s="67" t="str">
        <f t="shared" si="18"/>
        <v>-0.0376946961098937-0.0152974114611009i</v>
      </c>
      <c r="L167" s="68">
        <f t="shared" si="19"/>
        <v>-27.812280046442325</v>
      </c>
      <c r="M167" s="67">
        <f t="shared" si="9"/>
        <v>22.088493694424557</v>
      </c>
      <c r="N167" s="67"/>
      <c r="O167" s="67"/>
      <c r="P167" s="67"/>
      <c r="Q167" s="68">
        <f>8500000/B167</f>
        <v>8.5</v>
      </c>
      <c r="R167" s="68">
        <f t="shared" si="10"/>
        <v>18.588378514285854</v>
      </c>
      <c r="S167" s="67" t="str">
        <f t="shared" si="11"/>
        <v>54.6258980048341+38.2790685701468i</v>
      </c>
      <c r="T167" s="67">
        <f t="shared" si="12"/>
        <v>36.482893297493106</v>
      </c>
      <c r="U167" s="67">
        <f t="shared" si="13"/>
        <v>35.020829474102364</v>
      </c>
      <c r="V167" s="67" t="str">
        <f t="shared" si="14"/>
        <v>-0.0389376776038581-0.103936191068127i</v>
      </c>
      <c r="W167" s="68">
        <f t="shared" si="15"/>
        <v>-19.094289673863962</v>
      </c>
      <c r="X167" s="67">
        <f t="shared" si="16"/>
        <v>69.462512712000446</v>
      </c>
      <c r="Y167" s="67"/>
    </row>
    <row r="168" spans="1:25">
      <c r="B168" s="5"/>
      <c r="C168" s="5"/>
      <c r="D168" s="5"/>
      <c r="F168" s="5"/>
      <c r="N168" s="61"/>
    </row>
    <row r="169" spans="1:25">
      <c r="B169" s="5"/>
      <c r="C169" s="5"/>
      <c r="D169" s="5"/>
      <c r="F169" s="5"/>
      <c r="N169" s="61"/>
    </row>
    <row r="170" spans="1:25">
      <c r="B170" s="5"/>
      <c r="C170" s="5"/>
      <c r="D170" s="5"/>
      <c r="F170" s="5"/>
    </row>
    <row r="171" spans="1:25">
      <c r="B171" s="5"/>
      <c r="C171" s="5"/>
      <c r="D171" s="5"/>
      <c r="F171" s="5"/>
    </row>
    <row r="172" spans="1:25">
      <c r="B172" s="5"/>
      <c r="C172" s="5"/>
      <c r="D172" s="5"/>
      <c r="F172" s="5"/>
    </row>
    <row r="173" spans="1:25">
      <c r="B173" s="5"/>
      <c r="C173" s="5"/>
      <c r="D173" s="5"/>
      <c r="F173" s="5"/>
    </row>
    <row r="174" spans="1:25">
      <c r="B174" s="5"/>
      <c r="C174" s="5"/>
      <c r="D174" s="5"/>
      <c r="F174" s="5"/>
    </row>
    <row r="175" spans="1:25">
      <c r="B175" s="5"/>
      <c r="C175" s="5"/>
      <c r="D175" s="5"/>
      <c r="F175" s="5"/>
    </row>
    <row r="176" spans="1:25">
      <c r="B176" s="5"/>
      <c r="C176" s="5"/>
      <c r="D176" s="5"/>
      <c r="F176" s="5"/>
    </row>
    <row r="177" spans="1:7">
      <c r="B177" s="5"/>
      <c r="C177" s="5"/>
      <c r="D177" s="5"/>
      <c r="F177" s="5"/>
    </row>
    <row r="178" spans="1:7">
      <c r="B178" s="5"/>
      <c r="C178" s="5"/>
      <c r="D178" s="5"/>
      <c r="F178" s="5"/>
    </row>
    <row r="179" spans="1:7">
      <c r="B179" s="5"/>
      <c r="C179" s="5"/>
      <c r="D179" s="5"/>
      <c r="F179" s="5"/>
    </row>
    <row r="180" spans="1:7">
      <c r="B180" s="5"/>
      <c r="C180" s="5"/>
      <c r="D180" s="5"/>
      <c r="F180" s="5"/>
    </row>
    <row r="181" spans="1:7">
      <c r="B181" s="5"/>
      <c r="C181" s="5"/>
      <c r="D181" s="5"/>
      <c r="F181" s="5"/>
    </row>
    <row r="182" spans="1:7" s="14" customFormat="1" ht="15.75">
      <c r="A182" s="4"/>
      <c r="B182" s="4"/>
      <c r="C182" s="4"/>
      <c r="D182" s="4"/>
      <c r="E182" s="4"/>
      <c r="F182" s="4"/>
      <c r="G182" s="4"/>
    </row>
    <row r="183" spans="1:7" s="14" customFormat="1" ht="15.75">
      <c r="A183" s="4"/>
      <c r="B183" s="4"/>
      <c r="C183" s="4"/>
      <c r="D183" s="4"/>
      <c r="E183" s="4"/>
      <c r="F183" s="4"/>
      <c r="G183" s="4"/>
    </row>
  </sheetData>
  <protectedRanges>
    <protectedRange algorithmName="SHA-512" hashValue="CadJWtpDbCZ8ZeWs3/dTSjMpsReZd0HAvDrnUCWrBKdORmC58hdepUKjRGDkJ7A1YuW2ntR12TmDvRYnBanLzA==" saltValue="qWoquHlM+EcpQLHX/mVwxA==" spinCount="100000" sqref="D38 D43 D32 D119 D117 D115 D113 D111 D87:D90 D83:D85 D67:D68 D64:D65 D61:D62 D57:D59 D35:D36 D48 F83:F84 D74:D78 D123 S92" name="Range1"/>
    <protectedRange algorithmName="SHA-512" hashValue="CadJWtpDbCZ8ZeWs3/dTSjMpsReZd0HAvDrnUCWrBKdORmC58hdepUKjRGDkJ7A1YuW2ntR12TmDvRYnBanLzA==" saltValue="qWoquHlM+EcpQLHX/mVwxA==" spinCount="100000" sqref="D44:D46" name="Range1_2"/>
    <protectedRange algorithmName="SHA-512" hashValue="CadJWtpDbCZ8ZeWs3/dTSjMpsReZd0HAvDrnUCWrBKdORmC58hdepUKjRGDkJ7A1YuW2ntR12TmDvRYnBanLzA==" saltValue="qWoquHlM+EcpQLHX/mVwxA==" spinCount="100000" sqref="D27" name="Range1_3"/>
  </protectedRanges>
  <dataConsolidate/>
  <mergeCells count="22">
    <mergeCell ref="A71:J71"/>
    <mergeCell ref="A2:J3"/>
    <mergeCell ref="A28:J29"/>
    <mergeCell ref="A30:J30"/>
    <mergeCell ref="A4:J4"/>
    <mergeCell ref="A69:J70"/>
    <mergeCell ref="A12:J13"/>
    <mergeCell ref="A14:J14"/>
    <mergeCell ref="A31:B31"/>
    <mergeCell ref="A37:B37"/>
    <mergeCell ref="A47:B47"/>
    <mergeCell ref="A61:B62"/>
    <mergeCell ref="A64:B65"/>
    <mergeCell ref="A67:B68"/>
    <mergeCell ref="S125:AC125"/>
    <mergeCell ref="A111:A112"/>
    <mergeCell ref="A113:A114"/>
    <mergeCell ref="A115:A116"/>
    <mergeCell ref="A117:A118"/>
    <mergeCell ref="A119:A120"/>
    <mergeCell ref="A121:A122"/>
    <mergeCell ref="S121:U123"/>
  </mergeCells>
  <phoneticPr fontId="11" type="noConversion"/>
  <conditionalFormatting sqref="D80">
    <cfRule type="expression" dxfId="6" priority="4">
      <formula>ABS($D$84-$D$83)&lt;20</formula>
    </cfRule>
  </conditionalFormatting>
  <conditionalFormatting sqref="D26:D27">
    <cfRule type="cellIs" dxfId="5" priority="7" operator="notBetween">
      <formula>$O$127</formula>
      <formula>$P$127</formula>
    </cfRule>
  </conditionalFormatting>
  <conditionalFormatting sqref="D81">
    <cfRule type="expression" dxfId="4" priority="2">
      <formula>OR(D80/TAN((ATAN(D80/D87)/PI()*180+ATAN(D80/D88)/PI()*180-ATAN(D80/D89)/PI()*180-D85)/180*PI())&lt;0,D80/TAN((ATAN(D80/D87)/PI()*180+ATAN(D80/D88)/PI()*180-ATAN(D80/D89)/PI()*180-D85)/180*PI())&gt;5*D26)</formula>
    </cfRule>
  </conditionalFormatting>
  <conditionalFormatting sqref="F81">
    <cfRule type="expression" dxfId="3" priority="1">
      <formula>OR(D80/TAN((ATAN(D80/D87)/PI()*180+ATAN(D80/D88)/PI()*180-ATAN(D80/D89)/PI()*180-D85)/180*PI())&lt;0,D80/TAN((ATAN(D80/D87)/PI()*180+ATAN(D80/D88)/PI()*180-ATAN(D80/D89)/PI()*180-D85)/180*PI())&gt;5*D26)</formula>
    </cfRule>
  </conditionalFormatting>
  <dataValidations disablePrompts="1" count="4">
    <dataValidation type="list" allowBlank="1" showInputMessage="1" showErrorMessage="1" sqref="D42">
      <formula1>"1,2,3,4,5,6,7,8,9,10"</formula1>
    </dataValidation>
    <dataValidation type="list" allowBlank="1" showInputMessage="1" showErrorMessage="1" sqref="D56">
      <formula1>"0,1,2,3,4,5,6,7,8,9,10,11,12,13,14,15,16,17,18,19,20,21,22,23,24,25,26,27,28,29,30"</formula1>
    </dataValidation>
    <dataValidation type="list" allowBlank="1" showInputMessage="1" showErrorMessage="1" sqref="D26">
      <formula1>"200,250,300,350,400,450,500,550,600,650,700,750,800,850,900,950,1000,1050,1100,1150,1200,1300,1400,1500,1600,1700,1800,1900,2000,2100,2200"</formula1>
    </dataValidation>
    <dataValidation type="list" allowBlank="1" showInputMessage="1" showErrorMessage="1" sqref="D52">
      <formula1>"1,2,3,4,5,6,7,8,9,10,11,12,13,14,15,16,17,18,19,20,21,22,23,24,25,26,27,28,29,30"</formula1>
    </dataValidation>
  </dataValidations>
  <pageMargins left="0.25" right="0.25" top="0.75" bottom="0.75" header="0.3" footer="0.3"/>
  <pageSetup paperSize="8" scale="45" fitToHeight="0" orientation="landscape" r:id="rId1"/>
  <ignoredErrors>
    <ignoredError sqref="D1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98f66b-55e4-4243-9280-f35ae9cfd8b5">FUUCS4QZAH6U-755-9</_dlc_DocId>
    <_dlc_DocIdUrl xmlns="0998f66b-55e4-4243-9280-f35ae9cfd8b5">
      <Url>http://theconnection.onsemi.com/business/cp/applications/npd/_layouts/15/DocIdRedir.aspx?ID=FUUCS4QZAH6U-755-9</Url>
      <Description>FUUCS4QZAH6U-755-9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6EE7C8849A5C45A36CFD56FD558130" ma:contentTypeVersion="3" ma:contentTypeDescription="Create a new document." ma:contentTypeScope="" ma:versionID="03a2f360db6626266e9a083497960b66">
  <xsd:schema xmlns:xsd="http://www.w3.org/2001/XMLSchema" xmlns:xs="http://www.w3.org/2001/XMLSchema" xmlns:p="http://schemas.microsoft.com/office/2006/metadata/properties" xmlns:ns2="0998f66b-55e4-4243-9280-f35ae9cfd8b5" targetNamespace="http://schemas.microsoft.com/office/2006/metadata/properties" ma:root="true" ma:fieldsID="59c9a99471d09297786768a00e97b66a" ns2:_="">
    <xsd:import namespace="0998f66b-55e4-4243-9280-f35ae9cfd8b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8f66b-55e4-4243-9280-f35ae9cfd8b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B65729-BE9F-448D-9F8B-ACD865388F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5F48BA-15DF-4957-8E33-4BD1479181B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402DEE-0E73-4FBD-A95C-00853A3EEFE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0998f66b-55e4-4243-9280-f35ae9cfd8b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AC9ADAE-AB1C-420B-BD8D-FADFABC78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98f66b-55e4-4243-9280-f35ae9cfd8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2021-07-16T06:38:16Z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0x010100516EE7C8849A5C45A36CFD56FD558130</vt:lpwstr>
  </property>
  <property fmtid="{D5CDD505-2E9C-101B-9397-08002B2CF9AE}" pid="3" name="_dlc_DocIdItemGuid">
    <vt:lpwstr>5e94a7b9-d116-460d-b108-ec50d58977b6</vt:lpwstr>
  </property>
</Properties>
</file>